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wmf" ContentType="image/x-wmf"/>
  <Override PartName="/xl/media/image1.wmf" ContentType="image/x-wmf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Д ИВИС" sheetId="1" state="visible" r:id="rId2"/>
    <sheet name="Партнерские издания" sheetId="2" state="visible" r:id="rId3"/>
  </sheets>
  <definedNames>
    <definedName function="false" hidden="true" localSheetId="0" name="_xlnm._FilterDatabase" vbProcedure="false">'БД ИВИС'!$A$1:$U$1693</definedName>
    <definedName function="false" hidden="true" localSheetId="1" name="_xlnm._FilterDatabase" vbProcedure="false">'Партнерские издания'!$A$1:$S$76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<sst xmlns="http://schemas.openxmlformats.org/spreadsheetml/2006/main" count="17823" uniqueCount="3907">
  <si>
    <t xml:space="preserve">Наименование издания</t>
  </si>
  <si>
    <t xml:space="preserve">Код</t>
  </si>
  <si>
    <t xml:space="preserve">Издательство</t>
  </si>
  <si>
    <t xml:space="preserve">Периодичность выхода (в год)</t>
  </si>
  <si>
    <t xml:space="preserve">Цена за 6 мес.</t>
  </si>
  <si>
    <t xml:space="preserve">Цена за 12 мес. </t>
  </si>
  <si>
    <t xml:space="preserve">Формат представления статьи</t>
  </si>
  <si>
    <t xml:space="preserve">Тип доступа</t>
  </si>
  <si>
    <t xml:space="preserve">Сайт</t>
  </si>
  <si>
    <t xml:space="preserve">Наличие архива с …</t>
  </si>
  <si>
    <t xml:space="preserve">Город</t>
  </si>
  <si>
    <t xml:space="preserve">Вид</t>
  </si>
  <si>
    <t xml:space="preserve">Язык</t>
  </si>
  <si>
    <t xml:space="preserve">Дисциплина</t>
  </si>
  <si>
    <t xml:space="preserve">Перечень ВАК (квартиль)</t>
  </si>
  <si>
    <t xml:space="preserve">Вхождение в международные базы данных</t>
  </si>
  <si>
    <t xml:space="preserve">Входит в Коллекции</t>
  </si>
  <si>
    <t xml:space="preserve">Возрастной ценз</t>
  </si>
  <si>
    <t xml:space="preserve">Новое</t>
  </si>
  <si>
    <t xml:space="preserve">Дата изменения</t>
  </si>
  <si>
    <t xml:space="preserve">Аннотация</t>
  </si>
  <si>
    <t xml:space="preserve">Acta Naturae</t>
  </si>
  <si>
    <t xml:space="preserve">867855PO</t>
  </si>
  <si>
    <t xml:space="preserve">ООО "Акта Натурэ"</t>
  </si>
  <si>
    <t xml:space="preserve">Полный текст, pdf-файл</t>
  </si>
  <si>
    <t xml:space="preserve">Многопользовательский, ip-идентификация, логин/пароль</t>
  </si>
  <si>
    <t xml:space="preserve">https://eivis.ru/</t>
  </si>
  <si>
    <t xml:space="preserve">Москва</t>
  </si>
  <si>
    <t xml:space="preserve">Журнал</t>
  </si>
  <si>
    <t xml:space="preserve">Английский</t>
  </si>
  <si>
    <t xml:space="preserve">16+</t>
  </si>
  <si>
    <t xml:space="preserve">Acta Naturae. Русская версия</t>
  </si>
  <si>
    <t xml:space="preserve">996490PO</t>
  </si>
  <si>
    <t xml:space="preserve">Русский</t>
  </si>
  <si>
    <t xml:space="preserve">Advanced Engineering Research (Rostov-on-Don)</t>
  </si>
  <si>
    <t xml:space="preserve">ФГБОУ ВО "Донской государственный технический университет"</t>
  </si>
  <si>
    <t xml:space="preserve">PDF-файл</t>
  </si>
  <si>
    <t xml:space="preserve">Ростов-на-Дону</t>
  </si>
  <si>
    <t xml:space="preserve">Aerospace review</t>
  </si>
  <si>
    <t xml:space="preserve">ООО "АИ ОПК"</t>
  </si>
  <si>
    <t xml:space="preserve">Вопросы обороны и безопасности</t>
  </si>
  <si>
    <t xml:space="preserve">UDB-MIL</t>
  </si>
  <si>
    <t xml:space="preserve">Alma Mater</t>
  </si>
  <si>
    <t xml:space="preserve">400002</t>
  </si>
  <si>
    <t xml:space="preserve">ООО "Инновационный научно-образовательный и издательский центр "Алмавест"</t>
  </si>
  <si>
    <t xml:space="preserve">Педагогика и образование</t>
  </si>
  <si>
    <t xml:space="preserve">К2</t>
  </si>
  <si>
    <t xml:space="preserve">UDB-EDU</t>
  </si>
  <si>
    <t xml:space="preserve">Журнал посвящен проблемам отечественной и зарубежной высшей школы. Статьи обобщают опыт работы по основным проблемам университетского образования, профессиональной ориентации молодежи, студенческой жизни, социологии и истории высшего образования. В вестнике вы сможете познакомиться с работами крупнейших философов, ученых и писателей, обеспокоенных судьбами образования.</t>
  </si>
  <si>
    <t xml:space="preserve">AlterEconomics (Журнал экономической теории)</t>
  </si>
  <si>
    <t xml:space="preserve">998046PO</t>
  </si>
  <si>
    <t xml:space="preserve">Институт экономики УрО РАН.</t>
  </si>
  <si>
    <t xml:space="preserve">Екатеринбург</t>
  </si>
  <si>
    <t xml:space="preserve">Экономика</t>
  </si>
  <si>
    <t xml:space="preserve">ВАК</t>
  </si>
  <si>
    <t xml:space="preserve">UDB-ECO+</t>
  </si>
  <si>
    <t xml:space="preserve">Archaeology, Ethnology &amp; Anthropology of Eurasia</t>
  </si>
  <si>
    <t xml:space="preserve">1212243PO</t>
  </si>
  <si>
    <t xml:space="preserve">Институт археологии и этнографии Сибирского отделения Российской академии наук</t>
  </si>
  <si>
    <t xml:space="preserve">Новосибирск</t>
  </si>
  <si>
    <t xml:space="preserve">Науки о земле</t>
  </si>
  <si>
    <t xml:space="preserve">Army and Navy review</t>
  </si>
  <si>
    <t xml:space="preserve">Biological Communications</t>
  </si>
  <si>
    <t xml:space="preserve">1195325PO</t>
  </si>
  <si>
    <t xml:space="preserve">Издательство Санкт-Петербургского государственного университета</t>
  </si>
  <si>
    <t xml:space="preserve">Санкт-Петербург</t>
  </si>
  <si>
    <t xml:space="preserve">Биология</t>
  </si>
  <si>
    <t xml:space="preserve">К1*</t>
  </si>
  <si>
    <t xml:space="preserve">UDB-SPU</t>
  </si>
  <si>
    <t xml:space="preserve">BRICS Law Journal</t>
  </si>
  <si>
    <t xml:space="preserve">1136261PO</t>
  </si>
  <si>
    <t xml:space="preserve">Фонд поддержки академических инициатив</t>
  </si>
  <si>
    <t xml:space="preserve">Юриспруденция и право</t>
  </si>
  <si>
    <t xml:space="preserve">UDB-LAW</t>
  </si>
  <si>
    <t xml:space="preserve">Business Excellence</t>
  </si>
  <si>
    <t xml:space="preserve">1212128PO</t>
  </si>
  <si>
    <t xml:space="preserve">ООО «РИА «Стандарты и качество»</t>
  </si>
  <si>
    <t xml:space="preserve">Менеджмент качества</t>
  </si>
  <si>
    <t xml:space="preserve">UDB-IND</t>
  </si>
  <si>
    <t xml:space="preserve">18+</t>
  </si>
  <si>
    <t xml:space="preserve">CA: A Cancer Journal for Clinicians</t>
  </si>
  <si>
    <t xml:space="preserve">ИД «АБВ-пресс»</t>
  </si>
  <si>
    <t xml:space="preserve">журнал</t>
  </si>
  <si>
    <t xml:space="preserve">Медицина и здравоохранение</t>
  </si>
  <si>
    <t xml:space="preserve">Chemistry for Sustainable Development</t>
  </si>
  <si>
    <t xml:space="preserve">816201PO</t>
  </si>
  <si>
    <t xml:space="preserve">Фонд "Центр поддержки науки и культуры"</t>
  </si>
  <si>
    <t xml:space="preserve">Химия</t>
  </si>
  <si>
    <t xml:space="preserve">CIS Iron and Steel Review</t>
  </si>
  <si>
    <t xml:space="preserve">1228530PO</t>
  </si>
  <si>
    <t xml:space="preserve">АО "Издательский дом "Руда и металлы"</t>
  </si>
  <si>
    <t xml:space="preserve">Горное дело</t>
  </si>
  <si>
    <t xml:space="preserve">Computational Mathematics and Information Technologies</t>
  </si>
  <si>
    <t xml:space="preserve">Computational nanotechnology(Вычислительные нанотехнологии)</t>
  </si>
  <si>
    <t xml:space="preserve">1003741PO</t>
  </si>
  <si>
    <t xml:space="preserve">ООО "Издательский дом Юр-Вак"</t>
  </si>
  <si>
    <t xml:space="preserve">Информационные технологии</t>
  </si>
  <si>
    <t xml:space="preserve">UDB-IT</t>
  </si>
  <si>
    <t xml:space="preserve">Control Engineering</t>
  </si>
  <si>
    <t xml:space="preserve">1234338PO</t>
  </si>
  <si>
    <t xml:space="preserve">OOO "Электроникс Паблишинг"</t>
  </si>
  <si>
    <t xml:space="preserve">Defense &amp; Security</t>
  </si>
  <si>
    <t xml:space="preserve">  WPS Agency bulletin</t>
  </si>
  <si>
    <t xml:space="preserve">Газета</t>
  </si>
  <si>
    <t xml:space="preserve">Eurasian mining</t>
  </si>
  <si>
    <t xml:space="preserve">1228533PO</t>
  </si>
  <si>
    <t xml:space="preserve">Foods and Raw Materials </t>
  </si>
  <si>
    <t xml:space="preserve">Кемеровский государственный университет</t>
  </si>
  <si>
    <t xml:space="preserve">Кемерово</t>
  </si>
  <si>
    <t xml:space="preserve">Frontier Materials &amp; Technologies</t>
  </si>
  <si>
    <t xml:space="preserve">ФГБОУ ВО «Тольяттинский государственный университет»</t>
  </si>
  <si>
    <t xml:space="preserve">Тольятти</t>
  </si>
  <si>
    <t xml:space="preserve">Русский, английский</t>
  </si>
  <si>
    <t xml:space="preserve">new</t>
  </si>
  <si>
    <t xml:space="preserve">HED Higher Education Discovery: International Journal</t>
  </si>
  <si>
    <t xml:space="preserve">1325187PO</t>
  </si>
  <si>
    <t xml:space="preserve">Аккредитация в образовании</t>
  </si>
  <si>
    <t xml:space="preserve">Йошкар-Ола</t>
  </si>
  <si>
    <t xml:space="preserve">Horizon. Феноменологические исследования</t>
  </si>
  <si>
    <t xml:space="preserve">1315466PO</t>
  </si>
  <si>
    <t xml:space="preserve">HR-менеджмент. Практика управления персоналом</t>
  </si>
  <si>
    <t xml:space="preserve">1227251PO</t>
  </si>
  <si>
    <t xml:space="preserve">ООО "Гротек"</t>
  </si>
  <si>
    <t xml:space="preserve">Кадры, управление персоналом</t>
  </si>
  <si>
    <t xml:space="preserve">UDB-HR</t>
  </si>
  <si>
    <t xml:space="preserve">International Journal of Corrosion and Scale Inhibition</t>
  </si>
  <si>
    <t xml:space="preserve">Материаловедение</t>
  </si>
  <si>
    <t xml:space="preserve">IP-решения безопасности. Видеонаблюдение</t>
  </si>
  <si>
    <t xml:space="preserve">1227246PO</t>
  </si>
  <si>
    <t xml:space="preserve">Izvestia vuzov “Geodesy and Aerophotosurveying”</t>
  </si>
  <si>
    <t xml:space="preserve">МИИГАиК</t>
  </si>
  <si>
    <t xml:space="preserve">Геодезия и картография</t>
  </si>
  <si>
    <t xml:space="preserve">Jus strictum</t>
  </si>
  <si>
    <t xml:space="preserve">Light &amp; Engineering</t>
  </si>
  <si>
    <t xml:space="preserve">ООО "Редакция журнала "Светотехника"</t>
  </si>
  <si>
    <t xml:space="preserve">Management</t>
  </si>
  <si>
    <t xml:space="preserve">ООО "СЕРТ Интернешнл"</t>
  </si>
  <si>
    <t xml:space="preserve">Markov Processes and Related Fields</t>
  </si>
  <si>
    <t xml:space="preserve">ИП Баяхунова Л.Б.</t>
  </si>
  <si>
    <t xml:space="preserve">Математика</t>
  </si>
  <si>
    <t xml:space="preserve">MD-Onco</t>
  </si>
  <si>
    <t xml:space="preserve">Modern Electronic Materials</t>
  </si>
  <si>
    <t xml:space="preserve">НИТУ МИСиС</t>
  </si>
  <si>
    <t xml:space="preserve">Nomothetika: Философия. Социология. Право</t>
  </si>
  <si>
    <t xml:space="preserve">ФГАОУ ВО «Белгородский государственный национальный исследовательский университет»</t>
  </si>
  <si>
    <t xml:space="preserve">Белгород</t>
  </si>
  <si>
    <t xml:space="preserve">Non Nocere. Новый терапевтический журнал</t>
  </si>
  <si>
    <t xml:space="preserve">1295901PO</t>
  </si>
  <si>
    <t xml:space="preserve">Издательство "Медиа Сфера"</t>
  </si>
  <si>
    <t xml:space="preserve">Non-ferrous metals</t>
  </si>
  <si>
    <t xml:space="preserve">1228531PO</t>
  </si>
  <si>
    <t xml:space="preserve">Nuclear Energy and Technology</t>
  </si>
  <si>
    <t xml:space="preserve">НИЯУ МИФИ</t>
  </si>
  <si>
    <t xml:space="preserve">Физика</t>
  </si>
  <si>
    <t xml:space="preserve">Optics and Spectroscopy</t>
  </si>
  <si>
    <t xml:space="preserve">ФГБУН Физико-технический институт им. А.Ф. Иоффе Российской академии наук</t>
  </si>
  <si>
    <t xml:space="preserve">Patria</t>
  </si>
  <si>
    <t xml:space="preserve">ИД НИУ ВШЭ</t>
  </si>
  <si>
    <t xml:space="preserve">Philologia Classica (Классическая филология)</t>
  </si>
  <si>
    <t xml:space="preserve">1195902PO</t>
  </si>
  <si>
    <t xml:space="preserve">Филология и лингвистика</t>
  </si>
  <si>
    <t xml:space="preserve">Physics of the Solid State</t>
  </si>
  <si>
    <t xml:space="preserve">PR и реклама. Практические аспекты</t>
  </si>
  <si>
    <t xml:space="preserve">1231836PO</t>
  </si>
  <si>
    <t xml:space="preserve">Маркетинг</t>
  </si>
  <si>
    <t xml:space="preserve">Psychology in Russia: State of the Art</t>
  </si>
  <si>
    <t xml:space="preserve">1229802PO</t>
  </si>
  <si>
    <t xml:space="preserve">Психология</t>
  </si>
  <si>
    <t xml:space="preserve">UDB-PSYCHOLOGY</t>
  </si>
  <si>
    <t xml:space="preserve">Publish. Дизайн, верстка, печать</t>
  </si>
  <si>
    <t xml:space="preserve">997717PO</t>
  </si>
  <si>
    <t xml:space="preserve">ООО "Издательство "Открытые системы"</t>
  </si>
  <si>
    <t xml:space="preserve">Quaestia Rossica</t>
  </si>
  <si>
    <t xml:space="preserve">1138267PO</t>
  </si>
  <si>
    <t xml:space="preserve">Уральский федеральный университет</t>
  </si>
  <si>
    <t xml:space="preserve">История</t>
  </si>
  <si>
    <t xml:space="preserve">Research results in pharmacology</t>
  </si>
  <si>
    <t xml:space="preserve">Review of bussines and economics studies</t>
  </si>
  <si>
    <t xml:space="preserve">1228564PO</t>
  </si>
  <si>
    <t xml:space="preserve">ФГОБУ ВО "Финансовый университет пр Правительстве Российской Федерации</t>
  </si>
  <si>
    <t xml:space="preserve">Rhema. Рема</t>
  </si>
  <si>
    <t xml:space="preserve">1189680PO</t>
  </si>
  <si>
    <t xml:space="preserve">МПГУ</t>
  </si>
  <si>
    <t xml:space="preserve">Russia in Global Affairs </t>
  </si>
  <si>
    <t xml:space="preserve">Международные отношения</t>
  </si>
  <si>
    <t xml:space="preserve">Это уникальное издание является попыткой осмыслить те фундаментальные изменения, которые происходят в современном мире и в его отношениях с Россией. Издается при участии американского журнала "Foreign Affairs", самого престижного и влиятельного в мире издания, посвященного проблемам внешней политики и международных отношений.</t>
  </si>
  <si>
    <t xml:space="preserve">Russian Journal of Herpetology (на англ. языке)</t>
  </si>
  <si>
    <t xml:space="preserve">1303178PO</t>
  </si>
  <si>
    <t xml:space="preserve">ООО ИД "Фолиум"</t>
  </si>
  <si>
    <t xml:space="preserve">Фундаментальные и прикладные исследования рецентных и фоссильных амфибий и рептилий: систематика, распространение, филогения, морфология, поведенческие реакции, сохранения видов и мест обитания, разведение и содержание животных в неволе.</t>
  </si>
  <si>
    <t xml:space="preserve">Russian Journal of Linguistics</t>
  </si>
  <si>
    <t xml:space="preserve">1280421PO</t>
  </si>
  <si>
    <t xml:space="preserve">ФГАОУ ВУ РУДН</t>
  </si>
  <si>
    <t xml:space="preserve">Scientific Visualization</t>
  </si>
  <si>
    <t xml:space="preserve">SECURITY &amp; SAFETY MARKET IN RUSSIA</t>
  </si>
  <si>
    <t xml:space="preserve">Semiconductors</t>
  </si>
  <si>
    <t xml:space="preserve">Social novelties and social sciences</t>
  </si>
  <si>
    <t xml:space="preserve">ИНИОН РАН</t>
  </si>
  <si>
    <t xml:space="preserve">Studia Culturae</t>
  </si>
  <si>
    <t xml:space="preserve">АНО ДПО «ИМИК»</t>
  </si>
  <si>
    <t xml:space="preserve">Studia Litterarum</t>
  </si>
  <si>
    <t xml:space="preserve">1249186PO</t>
  </si>
  <si>
    <t xml:space="preserve">ИМЛИ РАН</t>
  </si>
  <si>
    <t xml:space="preserve">К1</t>
  </si>
  <si>
    <t xml:space="preserve">Technical Physics</t>
  </si>
  <si>
    <t xml:space="preserve">Technical Physics Letters</t>
  </si>
  <si>
    <t xml:space="preserve">The Art Newspaper Russia</t>
  </si>
  <si>
    <t xml:space="preserve">ООО "ДЕФИ"</t>
  </si>
  <si>
    <t xml:space="preserve">Искусство</t>
  </si>
  <si>
    <t xml:space="preserve">Tractus aevorum: эволюция социокультурных и политических пространств</t>
  </si>
  <si>
    <t xml:space="preserve">Via in tempore. История. Политология</t>
  </si>
  <si>
    <t xml:space="preserve">А почему?</t>
  </si>
  <si>
    <t xml:space="preserve">980624PO</t>
  </si>
  <si>
    <t xml:space="preserve">ООО "Объединенная редакция журнала "Юный техник"</t>
  </si>
  <si>
    <t xml:space="preserve">Издания для детей и юношества</t>
  </si>
  <si>
    <t xml:space="preserve">UDB-CHILD</t>
  </si>
  <si>
    <t xml:space="preserve">Авиакосмическая и экологическая медицина</t>
  </si>
  <si>
    <t xml:space="preserve">  Институт медико-биологических проблем РАН</t>
  </si>
  <si>
    <t xml:space="preserve">АвиаСоюз</t>
  </si>
  <si>
    <t xml:space="preserve">952743PO</t>
  </si>
  <si>
    <t xml:space="preserve">ООО "Авиасоюз"</t>
  </si>
  <si>
    <t xml:space="preserve">АвиаСоюз" публикует информационно-аналитические статьи по проблемам авиапрома и воздушного транспорта России и стран Содружества, материалы по различным аспектам авиационно-космической деятельности. </t>
  </si>
  <si>
    <t xml:space="preserve">Авиационная промышленность</t>
  </si>
  <si>
    <t xml:space="preserve">Акционерное общество «Национальный институт 
авиационных технологий» </t>
  </si>
  <si>
    <t xml:space="preserve">Авиация и космонавтика</t>
  </si>
  <si>
    <t xml:space="preserve">400005</t>
  </si>
  <si>
    <t xml:space="preserve">ООО "Издательство "Техинформ""</t>
  </si>
  <si>
    <t xml:space="preserve">Ведущий российский журнал, посвященный военной авиации и освоению космоса. Содержит богатую информацию о самолетах, состоящих на вооружении в вооруженных силах России, боевом опыте советских и российских летчиков, деятельности ведущих российских конструкторских бюро, оценки и комментарии, относящиеся к военно-воздушным силам других стран.</t>
  </si>
  <si>
    <t xml:space="preserve">Автоматизация в промышленности</t>
  </si>
  <si>
    <t xml:space="preserve">1326107PO</t>
  </si>
  <si>
    <t xml:space="preserve">ООО Издательский дом "ИнфоАвтоматизация"</t>
  </si>
  <si>
    <t xml:space="preserve">Автоматизация и моделирование в проектировании и управлении</t>
  </si>
  <si>
    <t xml:space="preserve">1342079PO</t>
  </si>
  <si>
    <t xml:space="preserve">ФГБОУ ВО "Брянский государственный технический университет"</t>
  </si>
  <si>
    <t xml:space="preserve">Брянск</t>
  </si>
  <si>
    <t xml:space="preserve">Автоматизация процессов управления / Automation of Control Processes</t>
  </si>
  <si>
    <t xml:space="preserve">ФНПЦ АО «НПО «Марс»</t>
  </si>
  <si>
    <t xml:space="preserve">Автоматизация, телемеханизация и связь в нефтяной промышленности</t>
  </si>
  <si>
    <t xml:space="preserve">1242720PO</t>
  </si>
  <si>
    <t xml:space="preserve">Издательский Дом «Губкин» РГУ нефти и газа (НИУ) им. И.М. Губкина</t>
  </si>
  <si>
    <t xml:space="preserve">Автоматика, связь, информатика</t>
  </si>
  <si>
    <t xml:space="preserve">Автоматизация. Современные технологии </t>
  </si>
  <si>
    <t xml:space="preserve">1242515PO</t>
  </si>
  <si>
    <t xml:space="preserve">ООО «Издательство   «Инновационное   машиностроение»»</t>
  </si>
  <si>
    <t xml:space="preserve">Автоматика и телемеханика</t>
  </si>
  <si>
    <t xml:space="preserve">1183350PO</t>
  </si>
  <si>
    <t xml:space="preserve">Российская академия наук</t>
  </si>
  <si>
    <t xml:space="preserve">UDB-NAUKA-SAT</t>
  </si>
  <si>
    <t xml:space="preserve">Доступно с января 2017</t>
  </si>
  <si>
    <t xml:space="preserve">ЦНТИБ ОАО «РЖД»</t>
  </si>
  <si>
    <t xml:space="preserve">К3</t>
  </si>
  <si>
    <t xml:space="preserve">Автометрия </t>
  </si>
  <si>
    <t xml:space="preserve">816204PO</t>
  </si>
  <si>
    <t xml:space="preserve">UDB-SAT</t>
  </si>
  <si>
    <t xml:space="preserve">В журнале публикуются оригинальные статьи и обзоры по следующим разделам: физика твердого тела, оптика и голография в приложениях к компьютерной и измерительной технике; физические и физико-технические аспекты микро- и оптоэлектроники; лазерные информационные технологии, элементы и системы и др.</t>
  </si>
  <si>
    <t xml:space="preserve">Автомобильная промышленность </t>
  </si>
  <si>
    <t xml:space="preserve">1242514PO</t>
  </si>
  <si>
    <t xml:space="preserve">Транспорт</t>
  </si>
  <si>
    <t xml:space="preserve">Автомобильные дороги</t>
  </si>
  <si>
    <t xml:space="preserve">1330195PO</t>
  </si>
  <si>
    <t xml:space="preserve">АО «Издательство Дороги»</t>
  </si>
  <si>
    <t xml:space="preserve">Автомобильный транспорт: грузовые перевозки</t>
  </si>
  <si>
    <t xml:space="preserve">1227257PO</t>
  </si>
  <si>
    <t xml:space="preserve">Автотранспорт: эксплуатация -обслуживание - ремонт</t>
  </si>
  <si>
    <t xml:space="preserve">Издательский дом "Панорама"</t>
  </si>
  <si>
    <t xml:space="preserve">Аграрная Россия</t>
  </si>
  <si>
    <t xml:space="preserve">1316722PO</t>
  </si>
  <si>
    <t xml:space="preserve">Широкий охват всего спектра направлений современного АПК,  фундаментальные и сугубо практические разработки в области земледелия, землепользования, животноводства, ветеринарии, экономики, технологии производства и переработки с/х продукции.</t>
  </si>
  <si>
    <t xml:space="preserve">Агроинженерия</t>
  </si>
  <si>
    <t xml:space="preserve">ФГБОУ ВО РГ АУ-МСХА имени К.А. Тимирязева</t>
  </si>
  <si>
    <t xml:space="preserve">Сельское хозяйство, ветеринария</t>
  </si>
  <si>
    <t xml:space="preserve">Агрохимический вестник</t>
  </si>
  <si>
    <t xml:space="preserve">Индивидуальный предприниматель Прохоров Илья Сергеевич</t>
  </si>
  <si>
    <t xml:space="preserve">Агрохимия</t>
  </si>
  <si>
    <t xml:space="preserve">1183349PO</t>
  </si>
  <si>
    <t xml:space="preserve">Адаптивная физическая культура</t>
  </si>
  <si>
    <t xml:space="preserve">ООО «Аргус СПБ»</t>
  </si>
  <si>
    <t xml:space="preserve">Азия и Африка сегодня</t>
  </si>
  <si>
    <t xml:space="preserve">13765</t>
  </si>
  <si>
    <t xml:space="preserve">Регионоведение</t>
  </si>
  <si>
    <t xml:space="preserve">UDB-NAUKA</t>
  </si>
  <si>
    <t xml:space="preserve">Журнал, рассчитанный на массовую аудиторию. Освещает разнообразные аспекты жизни в азиатских и африканских странах - историю, современность, культуру, образование, искусство, политику, экономику.</t>
  </si>
  <si>
    <t xml:space="preserve">Ай Ти ревью</t>
  </si>
  <si>
    <t xml:space="preserve">ООО "ТОП-Персонал"</t>
  </si>
  <si>
    <t xml:space="preserve">Сайт E-издания: http://profkiosk.ru/</t>
  </si>
  <si>
    <t xml:space="preserve">1316873PO</t>
  </si>
  <si>
    <t xml:space="preserve">Актуальные вопросы ветеринарной биологии</t>
  </si>
  <si>
    <t xml:space="preserve">ЧОУ ДПО «Институт ветеринарной биологии» </t>
  </si>
  <si>
    <t xml:space="preserve">Актуальные вопросы теории и практики перевода</t>
  </si>
  <si>
    <t xml:space="preserve">Актуальные проблемы Европы</t>
  </si>
  <si>
    <t xml:space="preserve">1305023PO</t>
  </si>
  <si>
    <t xml:space="preserve">Актуальные проблемы медицины</t>
  </si>
  <si>
    <t xml:space="preserve">Актуальные проблемы психологического знания</t>
  </si>
  <si>
    <t xml:space="preserve">Образовательная автономная некоммерческая организация высшего образования Московский психолого-социальный университет</t>
  </si>
  <si>
    <t xml:space="preserve">Актуальные проблемы современности: наука и общество</t>
  </si>
  <si>
    <t xml:space="preserve">1267057PO</t>
  </si>
  <si>
    <t xml:space="preserve">РАНХиГС при Президенте Российской Федерации</t>
  </si>
  <si>
    <t xml:space="preserve">Акустический журнал</t>
  </si>
  <si>
    <t xml:space="preserve">1183351PO</t>
  </si>
  <si>
    <t xml:space="preserve">Акушерство и гинекология</t>
  </si>
  <si>
    <t xml:space="preserve">1244642PO</t>
  </si>
  <si>
    <t xml:space="preserve">ООО "Бионика-Медиа"</t>
  </si>
  <si>
    <t xml:space="preserve">UDB-MED-RUS</t>
  </si>
  <si>
    <t xml:space="preserve">Акушерство и гинекология сегодня</t>
  </si>
  <si>
    <t xml:space="preserve">газета</t>
  </si>
  <si>
    <t xml:space="preserve">Акушерство и гинекология: новости, мнения, обучение</t>
  </si>
  <si>
    <t xml:space="preserve">1270437PO</t>
  </si>
  <si>
    <t xml:space="preserve">ООО Издательская группа "ГЭОТАР-Медиа"</t>
  </si>
  <si>
    <t xml:space="preserve">Алгебра и анализ</t>
  </si>
  <si>
    <t xml:space="preserve">Алгебра и логика</t>
  </si>
  <si>
    <t xml:space="preserve">1214018PO</t>
  </si>
  <si>
    <t xml:space="preserve">Альтернативная энергетика и экология</t>
  </si>
  <si>
    <t xml:space="preserve">ООО "Институт водородной экономики"</t>
  </si>
  <si>
    <t xml:space="preserve">Октябрьский</t>
  </si>
  <si>
    <t xml:space="preserve">Амбулаторная хирургия. Стационарозамещающие технологии</t>
  </si>
  <si>
    <t xml:space="preserve">1222375PO</t>
  </si>
  <si>
    <t xml:space="preserve">ООО "ГРУППА РЕМЕДИУМ"</t>
  </si>
  <si>
    <t xml:space="preserve">Аналитика</t>
  </si>
  <si>
    <t xml:space="preserve">1258661PO</t>
  </si>
  <si>
    <t xml:space="preserve">Аналитика и контроль</t>
  </si>
  <si>
    <t xml:space="preserve">1138259PO</t>
  </si>
  <si>
    <t xml:space="preserve">Ангиология и сосудистая хирургия</t>
  </si>
  <si>
    <t xml:space="preserve">1150715PO</t>
  </si>
  <si>
    <t xml:space="preserve">Российское общество ангиологов и сосудистых хирургов</t>
  </si>
  <si>
    <t xml:space="preserve">Анестезиология и реаниматология</t>
  </si>
  <si>
    <t xml:space="preserve">972513PO</t>
  </si>
  <si>
    <t xml:space="preserve">Анналы аритмологии</t>
  </si>
  <si>
    <t xml:space="preserve">ФГБУ ННЦССХ им. А.Н. Бакулева Минсздрава России</t>
  </si>
  <si>
    <t xml:space="preserve">Анналы хирургической гепатологии</t>
  </si>
  <si>
    <t xml:space="preserve">994232PO</t>
  </si>
  <si>
    <t xml:space="preserve">ООО "Видар"</t>
  </si>
  <si>
    <t xml:space="preserve">АНРИ (Аппаратура и новости радиационных измерений)</t>
  </si>
  <si>
    <t xml:space="preserve">ООО НПП "Доза"</t>
  </si>
  <si>
    <t xml:space="preserve">Антенны</t>
  </si>
  <si>
    <t xml:space="preserve">1308060PO</t>
  </si>
  <si>
    <t xml:space="preserve">ООО «Издательство «РАДИОТЕХНИКА»</t>
  </si>
  <si>
    <t xml:space="preserve">Антибиотики и химиотерапия </t>
  </si>
  <si>
    <t xml:space="preserve">ООО «Издательство ОКИ»</t>
  </si>
  <si>
    <t xml:space="preserve">АПК: экономика, управление</t>
  </si>
  <si>
    <t xml:space="preserve">АНО редакция журнала "АПК: Экономика, управление"</t>
  </si>
  <si>
    <t xml:space="preserve">Аптекарь</t>
  </si>
  <si>
    <t xml:space="preserve">Аргументы и факты</t>
  </si>
  <si>
    <t xml:space="preserve">12082</t>
  </si>
  <si>
    <t xml:space="preserve">Центральная пресса</t>
  </si>
  <si>
    <t xml:space="preserve">UDB-COM</t>
  </si>
  <si>
    <t xml:space="preserve">Популярная еженедельная газета, пишущая на любые темы в простой и понятной форме.</t>
  </si>
  <si>
    <t xml:space="preserve">Аргументы и факты. Здоровье</t>
  </si>
  <si>
    <t xml:space="preserve">996491PO</t>
  </si>
  <si>
    <t xml:space="preserve">Газета для тех, кто хочет сохранить здоровье, энергию, бодрость. В каждом номере: материалы об открытиях в области медицины. На вопросы читателей отвечают врачи, юристы, звезды театра, кино, спорта. </t>
  </si>
  <si>
    <t xml:space="preserve">Аргументы и факты. На даче</t>
  </si>
  <si>
    <t xml:space="preserve">990103PO</t>
  </si>
  <si>
    <t xml:space="preserve">Газета для владельцев дач, садов и огородов. Все о льготах и правах садоводов и дачников. Новости Союза садоводов России. Советы ученых -  как вырастить богатый урожай и обустроить свой участок. Личный опыт читателей и рецепты от "звездных" дачников. </t>
  </si>
  <si>
    <t xml:space="preserve">Аргументы недели</t>
  </si>
  <si>
    <t xml:space="preserve">921826PO</t>
  </si>
  <si>
    <t xml:space="preserve">Полный текст</t>
  </si>
  <si>
    <t xml:space="preserve">Армейский сборник</t>
  </si>
  <si>
    <t xml:space="preserve">46040</t>
  </si>
  <si>
    <t xml:space="preserve">ФГКУ "РИЦ" Минобороны России</t>
  </si>
  <si>
    <t xml:space="preserve">Журнал издается Генеральным штабом Вооруженных сил России с 1994 г. Освещает различные вопросы современного военного строительства, проблемы экономической реформы, развитие новых видов вооружений и др. Имеет военно-историческое приложение.</t>
  </si>
  <si>
    <t xml:space="preserve">Арсенал Отечества</t>
  </si>
  <si>
    <t xml:space="preserve">1222479PO</t>
  </si>
  <si>
    <t xml:space="preserve">ООО "Арсенал Отечества"</t>
  </si>
  <si>
    <t xml:space="preserve">Артериальная гипертензия</t>
  </si>
  <si>
    <t xml:space="preserve">1223231PO</t>
  </si>
  <si>
    <t xml:space="preserve">ООО "Антигипертензивная ЛИГА"</t>
  </si>
  <si>
    <t xml:space="preserve">Археология, этнография и антропология Евразии</t>
  </si>
  <si>
    <t xml:space="preserve">788801PO</t>
  </si>
  <si>
    <t xml:space="preserve">Научный журнал на основе материалов новейших археологических раскопок в регионе. Вопросы морфологии человека, расоведения.</t>
  </si>
  <si>
    <t xml:space="preserve">Археология. Этнология (Библиографические указатели)</t>
  </si>
  <si>
    <t xml:space="preserve">1304582PO</t>
  </si>
  <si>
    <t xml:space="preserve">Архив патологии</t>
  </si>
  <si>
    <t xml:space="preserve">1284273PO</t>
  </si>
  <si>
    <t xml:space="preserve">Архитектура и строительство России</t>
  </si>
  <si>
    <t xml:space="preserve">943533PO</t>
  </si>
  <si>
    <t xml:space="preserve">Автономная некоммерческая организация "Журнал "Архитектура и строительство России"</t>
  </si>
  <si>
    <t xml:space="preserve">Архитектура и строительство</t>
  </si>
  <si>
    <t xml:space="preserve">Архитектура, градостроительство и дизайн</t>
  </si>
  <si>
    <t xml:space="preserve">АНО «Журнал «Архитектура и строительство России»</t>
  </si>
  <si>
    <t xml:space="preserve">Челябинск</t>
  </si>
  <si>
    <t xml:space="preserve">Астрономический вестник. Исследования солнечной системы</t>
  </si>
  <si>
    <t xml:space="preserve">1183353PO</t>
  </si>
  <si>
    <t xml:space="preserve">Астрономия</t>
  </si>
  <si>
    <t xml:space="preserve">Астрономический журнал</t>
  </si>
  <si>
    <t xml:space="preserve">1183356PO</t>
  </si>
  <si>
    <t xml:space="preserve">Атеросклероз</t>
  </si>
  <si>
    <t xml:space="preserve">980554PO</t>
  </si>
  <si>
    <t xml:space="preserve">Редакция журнала "Атеросклероз"</t>
  </si>
  <si>
    <r>
      <rPr>
        <sz val="9"/>
        <rFont val="Arial Cyr"/>
        <family val="0"/>
        <charset val="204"/>
      </rPr>
      <t xml:space="preserve"> Журнал «Атеросклероз» предназначен как для практических врачей - терапевтов, кардиологов, липидологов и других, так и для ученых-исследователей, работающих в научно-исследовательских институтах России.</t>
    </r>
    <r>
      <rPr>
        <sz val="9"/>
        <color rgb="FF000000"/>
        <rFont val="Arial"/>
        <family val="2"/>
        <charset val="204"/>
      </rPr>
      <t xml:space="preserve"> </t>
    </r>
  </si>
  <si>
    <t xml:space="preserve">Атмосфера.Новости кардиологии</t>
  </si>
  <si>
    <t xml:space="preserve">980556PO</t>
  </si>
  <si>
    <t xml:space="preserve">ООО "Издательское предприятие "Атмосфера" </t>
  </si>
  <si>
    <t xml:space="preserve">Атом</t>
  </si>
  <si>
    <t xml:space="preserve">1138905PO</t>
  </si>
  <si>
    <t xml:space="preserve">ФГУП "Российский Федеральный ядерный центр - Всероссийский научно-исследовательский институт экспериментальной физики"</t>
  </si>
  <si>
    <t xml:space="preserve">Саров</t>
  </si>
  <si>
    <t xml:space="preserve">Атомная энергия</t>
  </si>
  <si>
    <t xml:space="preserve">13803</t>
  </si>
  <si>
    <t xml:space="preserve">Энергетика</t>
  </si>
  <si>
    <t xml:space="preserve">Журнал освещает широкий круг вопросов, связанных с атомной энергией. В нем публикуются оригинальные статьи и обзоры по строительству и контролю за работой атомных электростанций, по выработке атомного топлива и радиационной физике. Среди основных проблем - вопросы безопасности и переработки атомных отходов, защита окружающей среды. Журнал рассчитан на специалистов, работающих в области атомных </t>
  </si>
  <si>
    <t xml:space="preserve">Аудитор</t>
  </si>
  <si>
    <t xml:space="preserve">1252336PO</t>
  </si>
  <si>
    <t xml:space="preserve">ООО НИЦ ИНФРА-М</t>
  </si>
  <si>
    <t xml:space="preserve">Аудиторские ведомости</t>
  </si>
  <si>
    <t xml:space="preserve">943539PO</t>
  </si>
  <si>
    <t xml:space="preserve">ООО "Издательство ЮНИТИ-ДАНА"</t>
  </si>
  <si>
    <t xml:space="preserve">UDB-ACC</t>
  </si>
  <si>
    <t xml:space="preserve">Журнал "Аудиторские Ведомости" - журнал для специалистов по аудиту, консалтингу и бухучету. Публикует нормативные акты, теорию и практику аудита.</t>
  </si>
  <si>
    <t xml:space="preserve">Аутизм и нарушение развития</t>
  </si>
  <si>
    <t xml:space="preserve">1136577PO</t>
  </si>
  <si>
    <t xml:space="preserve">АХО: управление, технологии, практика</t>
  </si>
  <si>
    <t xml:space="preserve">1227880PO</t>
  </si>
  <si>
    <t xml:space="preserve">Аэрокосмическое обозрение</t>
  </si>
  <si>
    <t xml:space="preserve">973842PO</t>
  </si>
  <si>
    <t xml:space="preserve">Банковские услуги</t>
  </si>
  <si>
    <t xml:space="preserve">ООО «ФИНИНФОРМСЕРВИС НИКА»</t>
  </si>
  <si>
    <t xml:space="preserve">Финансы</t>
  </si>
  <si>
    <t xml:space="preserve">Банковское дело</t>
  </si>
  <si>
    <t xml:space="preserve">915473PO</t>
  </si>
  <si>
    <t xml:space="preserve">ИП Нестеренко М.Ю.</t>
  </si>
  <si>
    <t xml:space="preserve">UDB-ECO</t>
  </si>
  <si>
    <t xml:space="preserve">Журнал "Банковское дело" издается с января 1994 года. В настоящее время является ведущим научно-прикладным изданием о банковском бизнесе.</t>
  </si>
  <si>
    <t xml:space="preserve">Банковское обозрение</t>
  </si>
  <si>
    <t xml:space="preserve">965837PO</t>
  </si>
  <si>
    <t xml:space="preserve">ООО "Методология бизнеса"</t>
  </si>
  <si>
    <t xml:space="preserve">Банковское обозрение» - ведущий отраслевой журнал, которые детально освещает основные тенденции в банковской сфере. </t>
  </si>
  <si>
    <t xml:space="preserve">Бахтинский вестник</t>
  </si>
  <si>
    <t xml:space="preserve">ФГБОУ ВО "МГУ им. Н. П. Огарёва"</t>
  </si>
  <si>
    <t xml:space="preserve">Саранск</t>
  </si>
  <si>
    <t xml:space="preserve">Безопасность бизнеса. Security Director (ранее Бизнес: экономическая безопасность)</t>
  </si>
  <si>
    <t xml:space="preserve">Безопасность в нефтегазовом комплексе</t>
  </si>
  <si>
    <t xml:space="preserve">1226646PO</t>
  </si>
  <si>
    <t xml:space="preserve">Охрана труда и техника безопасности</t>
  </si>
  <si>
    <t xml:space="preserve">Безопасность жизнедеятельности</t>
  </si>
  <si>
    <t xml:space="preserve">1280258PO</t>
  </si>
  <si>
    <t xml:space="preserve">ООО Издательство "Новые технологии"</t>
  </si>
  <si>
    <t xml:space="preserve">Безопасность и охрана труда в лесозаготовительном и деревообрабатывающем производствах</t>
  </si>
  <si>
    <t xml:space="preserve">Безопасность и охрана труда в образовательных учреждениях</t>
  </si>
  <si>
    <t xml:space="preserve">Безопасность и охрана труда на железнодорожном транспорте</t>
  </si>
  <si>
    <t xml:space="preserve">Безопасность и риск фармакотерапии</t>
  </si>
  <si>
    <t xml:space="preserve">1351334PO</t>
  </si>
  <si>
    <t xml:space="preserve">ФГБУ «НЦЭСМП»  Минздрава России</t>
  </si>
  <si>
    <t xml:space="preserve">Безопасность информационных технологий</t>
  </si>
  <si>
    <t xml:space="preserve">Безопасность техногенных и природных систем</t>
  </si>
  <si>
    <t xml:space="preserve">Безопасность труда в промышленности</t>
  </si>
  <si>
    <t xml:space="preserve">1310996PO</t>
  </si>
  <si>
    <t xml:space="preserve">ЗАО “Научно-технический центр исследований проблем промышленной безопасности”</t>
  </si>
  <si>
    <t xml:space="preserve">Беспилотные авиационные системы. БПЛА: применение и защита</t>
  </si>
  <si>
    <t xml:space="preserve">Беспризорник </t>
  </si>
  <si>
    <t xml:space="preserve">ИП Ерегина Тамара Николаевна</t>
  </si>
  <si>
    <t xml:space="preserve">Беспроводные технологии</t>
  </si>
  <si>
    <t xml:space="preserve">1229473PO</t>
  </si>
  <si>
    <t xml:space="preserve">Выпуск приостановлен</t>
  </si>
  <si>
    <t xml:space="preserve">Библиография и книговедение</t>
  </si>
  <si>
    <t xml:space="preserve">1003695PO</t>
  </si>
  <si>
    <t xml:space="preserve">Библиотечное дело</t>
  </si>
  <si>
    <t xml:space="preserve">UDB-LIB</t>
  </si>
  <si>
    <t xml:space="preserve">Старейший из всех профессиональных отечественных журналов по книжному делу издается Российской Книжной Палатой с 1929 года. Информация о действующих и планируемых стандартах, нормах и правилах библиографического описания и издательской терминологии, статистики печати и оформления выходных сведений, международной стандартной нумерации и систематизации изданий. Новейшие официальные документы на эту тему с подробными комментариями. Регулярные обзоры книгоиздания и книжного рынка по стране в целом и по отдельным регионам.</t>
  </si>
  <si>
    <t xml:space="preserve">Библиосфера</t>
  </si>
  <si>
    <t xml:space="preserve">762616PO</t>
  </si>
  <si>
    <t xml:space="preserve">Это первое за Уралом научное периодическое издание по проблемам библиотечного дела. Основная задача – отражать новейшие результаты научной деятельности в области библиотековедения, библиографоведения, информатики и книговедения, способствовать развитию различных направлений информационной, библиотечной и книговедческой практики. </t>
  </si>
  <si>
    <t xml:space="preserve">Библиотековедение</t>
  </si>
  <si>
    <t xml:space="preserve">942731PO</t>
  </si>
  <si>
    <t xml:space="preserve">Hаучно-практический журнал о библиотечном и книжном деле в пространстве информационной культуры. Журнал адресован библиотечным и информационным работникам, библиотековедам, книговедам, библиографам, преподавателям, аспирантам, студентам вузов и колледжей культуры и искусств, университетов, книгочеям, библиофилам и пр.</t>
  </si>
  <si>
    <t xml:space="preserve">Библиотечка электротехника. Приложение к журналу "Энергетик» </t>
  </si>
  <si>
    <t xml:space="preserve">1351142PO</t>
  </si>
  <si>
    <t xml:space="preserve">АО НТФ «Энергопрогресс»</t>
  </si>
  <si>
    <t xml:space="preserve">762620PO</t>
  </si>
  <si>
    <t xml:space="preserve">ООО «Агентство Информ Планета»</t>
  </si>
  <si>
    <t xml:space="preserve">Освещаются современные библиотечно-информационные технологии: работа с электронными базами данных, проблемы рекаталогизации; приводятся обзоры сетевых ресурсов, уроки информационного анализа; поднимаются вопросы электронной доставки документов и защиты информации. </t>
  </si>
  <si>
    <t xml:space="preserve">Бизнес тренеры говорят</t>
  </si>
  <si>
    <t xml:space="preserve">Бизнес: цифровая трансформация</t>
  </si>
  <si>
    <t xml:space="preserve">Биологические мембраны: Журнал мембранной и клеточной биологии</t>
  </si>
  <si>
    <t xml:space="preserve">1183357PO</t>
  </si>
  <si>
    <t xml:space="preserve">Биология в школе</t>
  </si>
  <si>
    <t xml:space="preserve">1257197PO</t>
  </si>
  <si>
    <t xml:space="preserve">ООО "Школьная пресса"</t>
  </si>
  <si>
    <t xml:space="preserve">UDB-LST</t>
  </si>
  <si>
    <t xml:space="preserve">Биология внутренних вод</t>
  </si>
  <si>
    <t xml:space="preserve">1183358PO</t>
  </si>
  <si>
    <t xml:space="preserve">Биология моря </t>
  </si>
  <si>
    <t xml:space="preserve">1183361PO</t>
  </si>
  <si>
    <t xml:space="preserve">Биомедицинская радиоэлектроника</t>
  </si>
  <si>
    <t xml:space="preserve">1308063PO</t>
  </si>
  <si>
    <t xml:space="preserve">Биоорганическая химия</t>
  </si>
  <si>
    <t xml:space="preserve">1183362PO</t>
  </si>
  <si>
    <t xml:space="preserve">БИОпрепараты. Профилактика, диагностика, лечение.</t>
  </si>
  <si>
    <t xml:space="preserve">1332469PO</t>
  </si>
  <si>
    <t xml:space="preserve">Биотехнология</t>
  </si>
  <si>
    <t xml:space="preserve">ООО «Тематическая редакйция»</t>
  </si>
  <si>
    <t xml:space="preserve">Биофармацевтический журнал</t>
  </si>
  <si>
    <t xml:space="preserve">1316723PO</t>
  </si>
  <si>
    <t xml:space="preserve">Биофармпрепараты (БФ); биотехнология генно-инженерных эукариотических и прокариотических продуцентов; технология и аппаратура; доклиническая и клиническая оценка эффективности и безопасности БФ, стандартизация, регистрация применение БФ, менеджмент</t>
  </si>
  <si>
    <t xml:space="preserve">Биофизика</t>
  </si>
  <si>
    <t xml:space="preserve">1183364PO</t>
  </si>
  <si>
    <t xml:space="preserve">Биохимия</t>
  </si>
  <si>
    <t xml:space="preserve">1183365PO</t>
  </si>
  <si>
    <t xml:space="preserve">Биоэтика. Федеральный научно-практический журнал </t>
  </si>
  <si>
    <t xml:space="preserve">ФГБОУ ВО "Волгоградский государственный медицинский университет"</t>
  </si>
  <si>
    <t xml:space="preserve">Волгоград</t>
  </si>
  <si>
    <t xml:space="preserve">БИТ&amp;Бизнес и информационные технологии</t>
  </si>
  <si>
    <t xml:space="preserve">1003738PO</t>
  </si>
  <si>
    <t xml:space="preserve">ООО "Синдикат 13"</t>
  </si>
  <si>
    <t xml:space="preserve">Ближний и постсоветский Восток</t>
  </si>
  <si>
    <t xml:space="preserve">Боевая вахта</t>
  </si>
  <si>
    <t xml:space="preserve">12493</t>
  </si>
  <si>
    <t xml:space="preserve">Владивосток</t>
  </si>
  <si>
    <t xml:space="preserve">Газета Тихоокеанского флота России</t>
  </si>
  <si>
    <t xml:space="preserve">Ботанический журнал</t>
  </si>
  <si>
    <t xml:space="preserve">1183367PO</t>
  </si>
  <si>
    <t xml:space="preserve">Бурение и нефть</t>
  </si>
  <si>
    <t xml:space="preserve">ООО «БУРНЕФТЬ»</t>
  </si>
  <si>
    <t xml:space="preserve">Нефть</t>
  </si>
  <si>
    <t xml:space="preserve">Бухгалтерский учет</t>
  </si>
  <si>
    <t xml:space="preserve">Бухгалтерский учет в бюджетных и некоммерческих организациях</t>
  </si>
  <si>
    <t xml:space="preserve">914929PO</t>
  </si>
  <si>
    <t xml:space="preserve">ООО "ИД ФИНАНСЫ и КРЕДИТ"</t>
  </si>
  <si>
    <t xml:space="preserve">UDB-ACCOUNTING</t>
  </si>
  <si>
    <t xml:space="preserve">В журнале освещается специфика финансово-хозяйственной деятельности бюджетных и некоммерческих организаций; проблемы реформирования бухгалтерского учета, особенности ведения бухгалтерского учета, налогообложения и составления отчетности. </t>
  </si>
  <si>
    <t xml:space="preserve">Бухгалтерский учет и налогооблажение в бюджетных организациях</t>
  </si>
  <si>
    <t xml:space="preserve">Бухучет в здравоохранении</t>
  </si>
  <si>
    <t xml:space="preserve">Бухучет в сельском хозяйстве</t>
  </si>
  <si>
    <t xml:space="preserve">Бухучет в строительных организациях</t>
  </si>
  <si>
    <t xml:space="preserve">Бюджет</t>
  </si>
  <si>
    <t xml:space="preserve">1213245PO</t>
  </si>
  <si>
    <t xml:space="preserve">ИД "Бюджет"</t>
  </si>
  <si>
    <t xml:space="preserve">Бюджетный учет</t>
  </si>
  <si>
    <t xml:space="preserve">1213244PO</t>
  </si>
  <si>
    <t xml:space="preserve">Бюллетень высшей аттестационной комиссии Министерства образования и науки Российской Федерации </t>
  </si>
  <si>
    <t xml:space="preserve">АО "Издательство ИКАР"</t>
  </si>
  <si>
    <t xml:space="preserve">Бюллетень законодательства о социальном обслуживании</t>
  </si>
  <si>
    <t xml:space="preserve">1290589PO</t>
  </si>
  <si>
    <t xml:space="preserve">ООО Издательство «Социальное обслуживание»</t>
  </si>
  <si>
    <t xml:space="preserve">Бюллетень международных договоров</t>
  </si>
  <si>
    <t xml:space="preserve">777953PO</t>
  </si>
  <si>
    <t xml:space="preserve">UDB-GOV</t>
  </si>
  <si>
    <t xml:space="preserve">Единственное полное издание, где опубликование международных договоров является официальным. На его страницах публикуются вступившие в силу для Российской Федерации международные договоры и соглашения.</t>
  </si>
  <si>
    <t xml:space="preserve">Бюллетень Московского общества испытателей природы. Отдел биологический</t>
  </si>
  <si>
    <t xml:space="preserve">838162PO</t>
  </si>
  <si>
    <t xml:space="preserve">Издательство Московского государственного университета</t>
  </si>
  <si>
    <t xml:space="preserve">UDB-MGU</t>
  </si>
  <si>
    <t xml:space="preserve">Публикуются результаты наиболее значимых исследований в области биологических наук.</t>
  </si>
  <si>
    <t xml:space="preserve">Бюллетень Московского общества испытателей природы. Отдел геологический</t>
  </si>
  <si>
    <t xml:space="preserve">838165PO</t>
  </si>
  <si>
    <t xml:space="preserve">Геология</t>
  </si>
  <si>
    <t xml:space="preserve">Публикуются результаты наиболее значимых исследований в области геологии.</t>
  </si>
  <si>
    <t xml:space="preserve">Бюллетень Национального научно-исследовательского института общественного здоровья имени Н.А. Семашко</t>
  </si>
  <si>
    <t xml:space="preserve">1358628PO</t>
  </si>
  <si>
    <t xml:space="preserve">АО "ШИКО"</t>
  </si>
  <si>
    <t xml:space="preserve">Журнал о рынке лекарств, отражение его динамики, прогнозы, вопросы регистрации и контроля лекарственных средств, новости науки, деловая практика, менеджмент, законотворчество, юридические и финансовые вопросы, аспекты управления здравоохранением.</t>
  </si>
  <si>
    <t xml:space="preserve">Бюллетень НЦССХ им. А.Н. Бакулева РАМН "Сердечно-сосудистые заболевания"</t>
  </si>
  <si>
    <t xml:space="preserve">1195425PO</t>
  </si>
  <si>
    <t xml:space="preserve">Бюллетень сибирской медицины</t>
  </si>
  <si>
    <t xml:space="preserve">ГБОУ ВПО "Сибирский государственный медицинский университет"</t>
  </si>
  <si>
    <t xml:space="preserve">Томск</t>
  </si>
  <si>
    <t xml:space="preserve">Бюллетень Счетной палаты Российской Федерации</t>
  </si>
  <si>
    <t xml:space="preserve">400009</t>
  </si>
  <si>
    <t xml:space="preserve">Счетная палата Российской Федерации - государственная организация, подотчетная Думе и по ее поручениям проверяющая правильность расходования бюджетных средств министерствами, ведомствами и предприятиями. Результаты проверок, осуществляемых Счетной палатой, публикуются в ежемесячном Бюллетене.</t>
  </si>
  <si>
    <t xml:space="preserve">Бюллетень экспериментальной биологии и медицины</t>
  </si>
  <si>
    <t xml:space="preserve">АНО "Издательство РАМН" </t>
  </si>
  <si>
    <t xml:space="preserve">В помощь практикующей медицинской сестре</t>
  </si>
  <si>
    <t xml:space="preserve">1318498PO</t>
  </si>
  <si>
    <t xml:space="preserve">ООО «Современное сестринское дело»                            </t>
  </si>
  <si>
    <t xml:space="preserve">Вагоны и вагонное хозяйство</t>
  </si>
  <si>
    <t xml:space="preserve">Валютное регулирование.Валютный контроль</t>
  </si>
  <si>
    <t xml:space="preserve">Ведомости</t>
  </si>
  <si>
    <t xml:space="preserve">13596</t>
  </si>
  <si>
    <t xml:space="preserve">АО Бизнес Ньюс Медиа</t>
  </si>
  <si>
    <t xml:space="preserve">Авторитетная ежедневная деловая газета, основанная в 1999 г. Совместный проект The Wall Street Journal, Financial Times и компании Independent Media.</t>
  </si>
  <si>
    <t xml:space="preserve">Ведомости Научного центра экспертизы средств медицинского применения</t>
  </si>
  <si>
    <t xml:space="preserve">1351332PO</t>
  </si>
  <si>
    <t xml:space="preserve">Вентиляция, отопление, кондиционирование воздуха, теплоснабжение и строительная теплофизика</t>
  </si>
  <si>
    <t xml:space="preserve">1193661PO</t>
  </si>
  <si>
    <t xml:space="preserve">Строительство и архитектура</t>
  </si>
  <si>
    <t xml:space="preserve">Вести в электроэнергетике </t>
  </si>
  <si>
    <t xml:space="preserve">1353199PO</t>
  </si>
  <si>
    <t xml:space="preserve">Вестник "Зодчий. 21 век"</t>
  </si>
  <si>
    <t xml:space="preserve">986927PO</t>
  </si>
  <si>
    <t xml:space="preserve">UDB-SAT+</t>
  </si>
  <si>
    <t xml:space="preserve">Вестник Академии</t>
  </si>
  <si>
    <t xml:space="preserve">ООО «Издательский дом «НАУЧНАЯ БИБЛИОТЕКА»</t>
  </si>
  <si>
    <t xml:space="preserve">Вестник академии военных наук</t>
  </si>
  <si>
    <t xml:space="preserve">1214131PO</t>
  </si>
  <si>
    <t xml:space="preserve">МОО "Академия военных наук"</t>
  </si>
  <si>
    <t xml:space="preserve">Вестник академии следственного комитета Российской Федерации</t>
  </si>
  <si>
    <t xml:space="preserve">Вестник архивиста</t>
  </si>
  <si>
    <t xml:space="preserve">762630PO</t>
  </si>
  <si>
    <t xml:space="preserve">В журнале имеются постоянные рубрики: Проблемы архивоведения, источниковедения, документоведения, археографии; Электронные документы и архивы; Исторические исследования по архивным материалам; Генеалогия: отечественный и зарубежный опыт; Зарубежная архивная Россика; Зарубежный опыт; Публикации архивных документов; По страницам семейных архивов; Из истории архивов, музеев, библиотек; Конференции, исторические чтения, выставки, презентации; Хроника; Люди, события, факты; Лабиринты истории; Книжная полка.</t>
  </si>
  <si>
    <t xml:space="preserve">Вестник Ассоциации вузов туризма и сервиса </t>
  </si>
  <si>
    <t xml:space="preserve">1322466PO</t>
  </si>
  <si>
    <t xml:space="preserve">Российский государственный университет туризма и сервиса</t>
  </si>
  <si>
    <t xml:space="preserve">Вестник Брянского государственного технического университета</t>
  </si>
  <si>
    <t xml:space="preserve">1350294PO</t>
  </si>
  <si>
    <t xml:space="preserve">Вестник военного образования</t>
  </si>
  <si>
    <t xml:space="preserve">1176433PO</t>
  </si>
  <si>
    <t xml:space="preserve">Вестник военного права</t>
  </si>
  <si>
    <t xml:space="preserve">1214334PO</t>
  </si>
  <si>
    <t xml:space="preserve">Военный университет Министерства обороны РФ</t>
  </si>
  <si>
    <t xml:space="preserve">Вестник Волгоградского государственного медицинского университета </t>
  </si>
  <si>
    <t xml:space="preserve">Вестник государственного и муниципального управления</t>
  </si>
  <si>
    <t xml:space="preserve">1267065PO</t>
  </si>
  <si>
    <t xml:space="preserve">Государственное и муниципальное управление</t>
  </si>
  <si>
    <t xml:space="preserve">Вестник Дальневосточного отделения Российской академии наук</t>
  </si>
  <si>
    <t xml:space="preserve">Вестник дерматологии и венерологии</t>
  </si>
  <si>
    <t xml:space="preserve">1317037PO</t>
  </si>
  <si>
    <t xml:space="preserve">Общероссийская общественная организация «Российское общество дерматовенерологов и косметологов»</t>
  </si>
  <si>
    <t xml:space="preserve">Вестник древней истории</t>
  </si>
  <si>
    <t xml:space="preserve">13766</t>
  </si>
  <si>
    <t xml:space="preserve">Научный журнал, посвященный истории и культуре древних цивилизаций.</t>
  </si>
  <si>
    <t xml:space="preserve">Вестник института востоковедения РАН</t>
  </si>
  <si>
    <t xml:space="preserve">Институт востоковедения Российской академии наук</t>
  </si>
  <si>
    <t xml:space="preserve">Вестник интенсивной терапии имени А.И.Салтанова</t>
  </si>
  <si>
    <t xml:space="preserve">1284386PO</t>
  </si>
  <si>
    <t xml:space="preserve">ООО «Практическая медицина» </t>
  </si>
  <si>
    <t xml:space="preserve">Вестник информационной безопасности</t>
  </si>
  <si>
    <t xml:space="preserve">1227265PO</t>
  </si>
  <si>
    <t xml:space="preserve">Вестник Казанского государственного энергетического университета</t>
  </si>
  <si>
    <t xml:space="preserve">Федеральное государственное бюджетное образовательное учреждение высшего образования «Казанский государственный энергетический университет» </t>
  </si>
  <si>
    <t xml:space="preserve">Казань</t>
  </si>
  <si>
    <t xml:space="preserve">Вестник КемГУ. Серия: Гуманитарные и общественные науки</t>
  </si>
  <si>
    <t xml:space="preserve">Вестник КемГУ. Серия: Политические, социологические и экономические науки</t>
  </si>
  <si>
    <t xml:space="preserve">Вестник Кемеровского государственного университета культуры и искусств</t>
  </si>
  <si>
    <t xml:space="preserve">Кемеровский государственный университет культуры</t>
  </si>
  <si>
    <t xml:space="preserve">Вестник кибербезопасности </t>
  </si>
  <si>
    <t xml:space="preserve">1227914PO</t>
  </si>
  <si>
    <t xml:space="preserve">Вестник компьютерных и информационных технологий</t>
  </si>
  <si>
    <t xml:space="preserve">ООО «Издательский дом «Спектр»</t>
  </si>
  <si>
    <t xml:space="preserve">Вестник КрасГАУ</t>
  </si>
  <si>
    <t xml:space="preserve">ФГБОУ ВО Красноярский ГАУ</t>
  </si>
  <si>
    <t xml:space="preserve">Красноярск</t>
  </si>
  <si>
    <t xml:space="preserve">Вестник культурологии</t>
  </si>
  <si>
    <t xml:space="preserve">1305036PO</t>
  </si>
  <si>
    <t xml:space="preserve">Вестник культуры и искусств</t>
  </si>
  <si>
    <t xml:space="preserve">Федеральное государственное бюджетное образовательное учреждение высшего образования «Челябинский государственный институт культуры»</t>
  </si>
  <si>
    <t xml:space="preserve">Вестник Марийского государственного университета</t>
  </si>
  <si>
    <t xml:space="preserve">1238645PO</t>
  </si>
  <si>
    <t xml:space="preserve">Вестник машиностроения </t>
  </si>
  <si>
    <t xml:space="preserve">1238786PO</t>
  </si>
  <si>
    <t xml:space="preserve">Машиностроение</t>
  </si>
  <si>
    <t xml:space="preserve">Вестник МГИМО</t>
  </si>
  <si>
    <t xml:space="preserve">1271635PO</t>
  </si>
  <si>
    <t xml:space="preserve">МГИМО МИД России</t>
  </si>
  <si>
    <t xml:space="preserve">Вестник МГТУ им. Н.Э. Баумана. Серия Естественные науки</t>
  </si>
  <si>
    <t xml:space="preserve">986733PO</t>
  </si>
  <si>
    <t xml:space="preserve">Издательство МГТУ им. Н.Э. Баумана</t>
  </si>
  <si>
    <t xml:space="preserve">Научно – теоретический и прикладной журнал широкого профиля</t>
  </si>
  <si>
    <t xml:space="preserve">Вестник МГТУ им. Н.Э. Баумана. Серия Машиностроение</t>
  </si>
  <si>
    <t xml:space="preserve">986735PO</t>
  </si>
  <si>
    <t xml:space="preserve">Вестник МГТУ им. Н.Э. Баумана. Серия Приборостороение</t>
  </si>
  <si>
    <t xml:space="preserve">986737PO</t>
  </si>
  <si>
    <t xml:space="preserve">Приборостроение</t>
  </si>
  <si>
    <t xml:space="preserve">Вестник МГУ. Сер.1. Математика. Механика</t>
  </si>
  <si>
    <t xml:space="preserve">838093PO</t>
  </si>
  <si>
    <t xml:space="preserve">Публикуются результаты наиболее значимых научных исследований в области математики и механики.</t>
  </si>
  <si>
    <t xml:space="preserve">Вестник МГУ. Сер.10. Журналистика</t>
  </si>
  <si>
    <t xml:space="preserve">838122PO</t>
  </si>
  <si>
    <t xml:space="preserve">Журналистика</t>
  </si>
  <si>
    <t xml:space="preserve">Научный журнал. Основные темы: российская и зарубежная журналистика.</t>
  </si>
  <si>
    <t xml:space="preserve">Вестник МГУ. Сер.11. Право</t>
  </si>
  <si>
    <t xml:space="preserve">838125PO</t>
  </si>
  <si>
    <t xml:space="preserve">Публикуются результаты наиболее значимых научных исследований в области права.</t>
  </si>
  <si>
    <t xml:space="preserve">Вестник МГУ. Сер.12. Политические науки</t>
  </si>
  <si>
    <t xml:space="preserve">838128PO</t>
  </si>
  <si>
    <t xml:space="preserve">Научный журнал. Основная информация: политическая философия, теоретическая политология, истории политических идей, проблемы этнополитологии.</t>
  </si>
  <si>
    <t xml:space="preserve">Вестник МГУ. Сер.13. Востоковедение</t>
  </si>
  <si>
    <t xml:space="preserve">838131PO</t>
  </si>
  <si>
    <t xml:space="preserve">Научный журнал. Основная информация: востоковедение.</t>
  </si>
  <si>
    <t xml:space="preserve">Вестник МГУ. Сер.14. Психология</t>
  </si>
  <si>
    <t xml:space="preserve">838135PO</t>
  </si>
  <si>
    <t xml:space="preserve">Публикуются результаты наиболее значимых научных исследований в области психологии.</t>
  </si>
  <si>
    <t xml:space="preserve">Вестник МГУ. Сер.15. Вычислительная математика и кибернетика</t>
  </si>
  <si>
    <t xml:space="preserve">838138PO</t>
  </si>
  <si>
    <t xml:space="preserve">Прикладная математика. Информатика</t>
  </si>
  <si>
    <t xml:space="preserve">Scopus, Chemical Abstracts</t>
  </si>
  <si>
    <t xml:space="preserve">Публикуются результаты наиболее значимых научных исследований в области вычислительной математики и кибернетики.</t>
  </si>
  <si>
    <t xml:space="preserve">Вестник МГУ. Сер.16. Биология</t>
  </si>
  <si>
    <t xml:space="preserve">838141PO</t>
  </si>
  <si>
    <t xml:space="preserve">Научный журнал. Основная информация: физиология человека и животных, растений, экология, иммунология.</t>
  </si>
  <si>
    <t xml:space="preserve">Вестник МГУ. Сер.17. Почвоведение</t>
  </si>
  <si>
    <t xml:space="preserve">838144PO</t>
  </si>
  <si>
    <t xml:space="preserve">Научный журнал. Основная информация: агрохимия, генетика и география почв, биология почв.</t>
  </si>
  <si>
    <t xml:space="preserve">Вестник МГУ. Сер.18. Социология и политология</t>
  </si>
  <si>
    <t xml:space="preserve">838147PO</t>
  </si>
  <si>
    <t xml:space="preserve">Социология</t>
  </si>
  <si>
    <t xml:space="preserve">Научный журнал. Основные темы о социологии в России: ее настоящее и будущее, методологические проблемы политологии, социальные и политические аспекты российского общества.</t>
  </si>
  <si>
    <t xml:space="preserve">Вестник МГУ. Сер.19. Лингвистика и межкультурная коммуникация</t>
  </si>
  <si>
    <t xml:space="preserve">838150PO</t>
  </si>
  <si>
    <t xml:space="preserve">Публикуются результаты наиболее значимых научных исследований в области общей и сопоставительной лингвистики, языка и перевода, языка для специальных целей, языка науки, преподавания иностранного языка.</t>
  </si>
  <si>
    <t xml:space="preserve">Вестник МГУ. Сер.2. Химия</t>
  </si>
  <si>
    <t xml:space="preserve">838097PO</t>
  </si>
  <si>
    <t xml:space="preserve">Публикуются результаты наиболее значимых научных исследований в области химии.</t>
  </si>
  <si>
    <t xml:space="preserve">Вестник МГУ. Сер.20. Педагогическое образование</t>
  </si>
  <si>
    <t xml:space="preserve">838153PO</t>
  </si>
  <si>
    <t xml:space="preserve">Публикуются наиболее значимые исследования в области педагогического образования.</t>
  </si>
  <si>
    <t xml:space="preserve">Вестник МГУ. Сер.21. Управление (государство и общество)</t>
  </si>
  <si>
    <t xml:space="preserve">838156PO</t>
  </si>
  <si>
    <t xml:space="preserve">Публикуются наиболее важные результаты исследований в области управления.</t>
  </si>
  <si>
    <t xml:space="preserve">Вестник МГУ. Сер.22. Теория перевода</t>
  </si>
  <si>
    <t xml:space="preserve">838159PO</t>
  </si>
  <si>
    <t xml:space="preserve">Вестник МГУ. Сер.23. Антропология</t>
  </si>
  <si>
    <t xml:space="preserve">845424PO</t>
  </si>
  <si>
    <t xml:space="preserve">Вестник МГУ. Сер.25. Международные отношения и мировая политика</t>
  </si>
  <si>
    <t xml:space="preserve">874274PO</t>
  </si>
  <si>
    <t xml:space="preserve">Вестник МГУ. Сер.27.Глобалистика и геополитика</t>
  </si>
  <si>
    <t xml:space="preserve">918621PO</t>
  </si>
  <si>
    <t xml:space="preserve">Вестник МГУ. Сер.3. Физика. Астрономия</t>
  </si>
  <si>
    <t xml:space="preserve">838101PO</t>
  </si>
  <si>
    <t xml:space="preserve">Публикуются наиболее значимые исследования в области физики и астрономии.</t>
  </si>
  <si>
    <t xml:space="preserve">Вестник МГУ. Сер.4. Геология</t>
  </si>
  <si>
    <t xml:space="preserve">838104PO</t>
  </si>
  <si>
    <t xml:space="preserve">Публикуются наиболее значимые результаты научных исследований в области геологии.</t>
  </si>
  <si>
    <t xml:space="preserve">Вестник МГУ. Сер.5. География</t>
  </si>
  <si>
    <t xml:space="preserve">838107PO</t>
  </si>
  <si>
    <t xml:space="preserve">География</t>
  </si>
  <si>
    <t xml:space="preserve">Публикуются наиболее значимые результаты научных исследований в области географии.</t>
  </si>
  <si>
    <t xml:space="preserve">Вестник МГУ. Сер.6. Экономика</t>
  </si>
  <si>
    <t xml:space="preserve">838110PO</t>
  </si>
  <si>
    <t xml:space="preserve">Публикуются наиболее значимые результаты научных исследований в области экономики.</t>
  </si>
  <si>
    <t xml:space="preserve">Вестник МГУ. Сер.7. Философия</t>
  </si>
  <si>
    <t xml:space="preserve">838113PO</t>
  </si>
  <si>
    <t xml:space="preserve">Философия</t>
  </si>
  <si>
    <t xml:space="preserve">Публикуются наиболее значимые результаты научных исследований в области философии.</t>
  </si>
  <si>
    <t xml:space="preserve">Вестник МГУ. Сер.8. История</t>
  </si>
  <si>
    <t xml:space="preserve">838116PO</t>
  </si>
  <si>
    <t xml:space="preserve">Публикуются результаты наиболее значимых научных исследований в области истории.</t>
  </si>
  <si>
    <t xml:space="preserve">Вестник МГУ. Сер.9. Филология</t>
  </si>
  <si>
    <t xml:space="preserve">838119PO</t>
  </si>
  <si>
    <t xml:space="preserve">Публикуются результаты наиболее значимых научных исследований в области филологии.</t>
  </si>
  <si>
    <t xml:space="preserve">Вестник медицинского стоматологического института</t>
  </si>
  <si>
    <t xml:space="preserve">1305123PO</t>
  </si>
  <si>
    <t xml:space="preserve">НОЧУ ДПО "Медицинский стоматологический инстиут"</t>
  </si>
  <si>
    <t xml:space="preserve">Вестник международных организаций:образование, наука, новая экономика</t>
  </si>
  <si>
    <t xml:space="preserve">1195789PO</t>
  </si>
  <si>
    <t xml:space="preserve">Вестник Московского государственного строительного университета</t>
  </si>
  <si>
    <t xml:space="preserve">1213294PO</t>
  </si>
  <si>
    <t xml:space="preserve">ФГБОУ ВО «Национальный исследовательский Московский государственный строительный университет»</t>
  </si>
  <si>
    <t xml:space="preserve">Вестник Московского государственного университета культуры и искусств</t>
  </si>
  <si>
    <t xml:space="preserve">ФГБОУ ВО "Московский государственный институт культуры"</t>
  </si>
  <si>
    <t xml:space="preserve">Вестник Московского энергетического института</t>
  </si>
  <si>
    <t xml:space="preserve">1278483PO</t>
  </si>
  <si>
    <t xml:space="preserve">ФГБОУ ВО "НИУ "МЭИ"</t>
  </si>
  <si>
    <t xml:space="preserve">Вестник Московской международной академии</t>
  </si>
  <si>
    <t xml:space="preserve">ОЧУ ВО "ММА"</t>
  </si>
  <si>
    <t xml:space="preserve">Вестник нанотехнологий</t>
  </si>
  <si>
    <t xml:space="preserve">1227264PO</t>
  </si>
  <si>
    <t xml:space="preserve">Вестник Научно-исследовательского 
института железнодорожного транспорта</t>
  </si>
  <si>
    <t xml:space="preserve">АО «ВНИИЖТ»</t>
  </si>
  <si>
    <t xml:space="preserve">Вестник национального исследовательского ядерного университета «МИФИ» </t>
  </si>
  <si>
    <t xml:space="preserve">1276766PO</t>
  </si>
  <si>
    <t xml:space="preserve">Вестник НГУЭУ</t>
  </si>
  <si>
    <t xml:space="preserve">980625PO</t>
  </si>
  <si>
    <t xml:space="preserve">Журнал носит междисциплинарный характер и освещает актуальные проблемы национальной безопасности России и регионов, результаты теоретических и практических исследований в области финансов, управления, аудита, бухгалтерского учета и статистики. Представляет публикации ведущих ученых в сфере информационных технологий и инноватики, социологии, философии и юриспруденции. </t>
  </si>
  <si>
    <t xml:space="preserve">Вестник новых медицинских технологий</t>
  </si>
  <si>
    <t xml:space="preserve">1359800PO</t>
  </si>
  <si>
    <t xml:space="preserve">Федеральное государственное бюджетное 
образовательное учреждение высшего образования 
«Тульский государственный университет»</t>
  </si>
  <si>
    <t xml:space="preserve">Тула</t>
  </si>
  <si>
    <t xml:space="preserve">Вестник ОПК. Современное оружие</t>
  </si>
  <si>
    <t xml:space="preserve">1227920PO</t>
  </si>
  <si>
    <t xml:space="preserve">Вестник оториноларингологии</t>
  </si>
  <si>
    <t xml:space="preserve">1284275PO</t>
  </si>
  <si>
    <t xml:space="preserve">Вестник офтальмологии</t>
  </si>
  <si>
    <t xml:space="preserve">1284274PO</t>
  </si>
  <si>
    <t xml:space="preserve">Вестник Пензенского государственного университета</t>
  </si>
  <si>
    <t xml:space="preserve">ФГБОУ ВО "Пензенский государственный университет"</t>
  </si>
  <si>
    <t xml:space="preserve">Пенза</t>
  </si>
  <si>
    <t xml:space="preserve">Вестник Поволжского института управления</t>
  </si>
  <si>
    <t xml:space="preserve">1260878PO</t>
  </si>
  <si>
    <t xml:space="preserve">Вестник психиатрии, неврологии и нейрохирургии</t>
  </si>
  <si>
    <t xml:space="preserve">Вестник психотерапии</t>
  </si>
  <si>
    <t xml:space="preserve">1328525PO</t>
  </si>
  <si>
    <t xml:space="preserve">Оздоровительное учреждение
«Международный   институr   резервных   возможностей   человека»</t>
  </si>
  <si>
    <t xml:space="preserve">Вестник Пятигорского государственного университета</t>
  </si>
  <si>
    <t xml:space="preserve">ФГБОУ ВО «Пятигорский государственный университет»</t>
  </si>
  <si>
    <t xml:space="preserve">Пятигорск</t>
  </si>
  <si>
    <t xml:space="preserve">Вестник рентгенологии и радиологии</t>
  </si>
  <si>
    <t xml:space="preserve">1278272PO</t>
  </si>
  <si>
    <t xml:space="preserve">ООО "Лучевая диагностика"</t>
  </si>
  <si>
    <t xml:space="preserve">Вестник Российского университета дружбы народов. Серия: Агрономия и животноводство</t>
  </si>
  <si>
    <t xml:space="preserve">1224462PO</t>
  </si>
  <si>
    <t xml:space="preserve">Вестник Российского университета дружбы народов. Серия: Всеобщая история</t>
  </si>
  <si>
    <t xml:space="preserve">1224479PO</t>
  </si>
  <si>
    <t xml:space="preserve">Вестник Российского университета дружбы народов. Серия: Государственное и муниципальное управление</t>
  </si>
  <si>
    <t xml:space="preserve">1228389PO</t>
  </si>
  <si>
    <t xml:space="preserve">Вестник Российского университета дружбы народов. Серия: Инженерные исследования</t>
  </si>
  <si>
    <t xml:space="preserve">1224465PO</t>
  </si>
  <si>
    <t xml:space="preserve">Вестник Российского университета дружбы народов. Серия: Информатизация образования</t>
  </si>
  <si>
    <t xml:space="preserve">1224464PO</t>
  </si>
  <si>
    <t xml:space="preserve">Вестник Российского университета дружбы народов. Серия: История России</t>
  </si>
  <si>
    <t xml:space="preserve">1224466PO</t>
  </si>
  <si>
    <t xml:space="preserve">Вестник Российского университета дружбы народов. Серия: Литературоведение. Журналистика</t>
  </si>
  <si>
    <t xml:space="preserve">1224469PO</t>
  </si>
  <si>
    <t xml:space="preserve">Вестник Российского университета дружбы народов. Серия: Математика. Информатика. Физика</t>
  </si>
  <si>
    <t xml:space="preserve">1280405PO</t>
  </si>
  <si>
    <t xml:space="preserve">Вестник Российского университета дружбы народов. Серия: Медицина</t>
  </si>
  <si>
    <t xml:space="preserve">1228169PO</t>
  </si>
  <si>
    <t xml:space="preserve">Вестник Российского университета дружбы народов. Серия: Международные отношения</t>
  </si>
  <si>
    <t xml:space="preserve">1224471PO</t>
  </si>
  <si>
    <t xml:space="preserve">Вестник Российского университета дружбы народов. Серия: Политология</t>
  </si>
  <si>
    <t xml:space="preserve">1224472PO</t>
  </si>
  <si>
    <t xml:space="preserve">Политология</t>
  </si>
  <si>
    <t xml:space="preserve">Вестник Российского университета дружбы народов. Серия: Психология и педагогика</t>
  </si>
  <si>
    <t xml:space="preserve">1224474PO</t>
  </si>
  <si>
    <t xml:space="preserve">Вестник Российского университета дружбы народов. Серия: Социология</t>
  </si>
  <si>
    <t xml:space="preserve">1224476PO</t>
  </si>
  <si>
    <t xml:space="preserve">Вестник Российского университета дружбы народов. Серия: Теория языка. Семиотика. Семантика</t>
  </si>
  <si>
    <t xml:space="preserve">1224477PO</t>
  </si>
  <si>
    <t xml:space="preserve">Вестник Российского университета дружбы народов. Серия: Философия</t>
  </si>
  <si>
    <t xml:space="preserve">1224463PO</t>
  </si>
  <si>
    <t xml:space="preserve">Вестник Российского университета дружбы народов. Серия: Экология и безопасность жизнедеятельности</t>
  </si>
  <si>
    <t xml:space="preserve">1228394PO</t>
  </si>
  <si>
    <t xml:space="preserve">Экология</t>
  </si>
  <si>
    <t xml:space="preserve">Вестник Российского университета дружбы народов. Серия: Экономика</t>
  </si>
  <si>
    <t xml:space="preserve">1228395PO</t>
  </si>
  <si>
    <t xml:space="preserve">Вестник Российского университета дружбы народов. Серия: Юридические науки</t>
  </si>
  <si>
    <t xml:space="preserve">1224467PO</t>
  </si>
  <si>
    <t xml:space="preserve">Вестник Российской академии медицинских наук</t>
  </si>
  <si>
    <t xml:space="preserve">762610PO</t>
  </si>
  <si>
    <t xml:space="preserve">ООО Издательство "ПедиатрЪ"</t>
  </si>
  <si>
    <t xml:space="preserve">Вестник Российской академии наук</t>
  </si>
  <si>
    <t xml:space="preserve">1183368PO</t>
  </si>
  <si>
    <t xml:space="preserve">Вестник российской сельскохозяйственной науки</t>
  </si>
  <si>
    <t xml:space="preserve">1263154PO</t>
  </si>
  <si>
    <t xml:space="preserve">Вестник Российской таможенной академии</t>
  </si>
  <si>
    <t xml:space="preserve">1228150PO</t>
  </si>
  <si>
    <t xml:space="preserve">Государственное казенное обраховательное учреждение высшего образования
"Российская Таможенная академия"</t>
  </si>
  <si>
    <t xml:space="preserve">Вестник Самарского университета. Аэрокосмическая техника, технологии и машиностроение</t>
  </si>
  <si>
    <t xml:space="preserve">1214503PO</t>
  </si>
  <si>
    <t xml:space="preserve">Самарский университет</t>
  </si>
  <si>
    <t xml:space="preserve">Вестник Санкт-Петербургского университета. Востоковедение и африканистика </t>
  </si>
  <si>
    <t xml:space="preserve">1159275PO</t>
  </si>
  <si>
    <t xml:space="preserve">Вестник Санкт-Петербургского университета. Искусствоведение </t>
  </si>
  <si>
    <t xml:space="preserve">1159278PO</t>
  </si>
  <si>
    <t xml:space="preserve">Вестник Санкт-Петербургского университета. История</t>
  </si>
  <si>
    <t xml:space="preserve">1159251PO</t>
  </si>
  <si>
    <t xml:space="preserve">Вестник Санкт-Петербургского университета. Математика. Механика. Астрономия </t>
  </si>
  <si>
    <t xml:space="preserve">1159247PO</t>
  </si>
  <si>
    <t xml:space="preserve">Вестник Санкт-Петербургского университета. Медицина </t>
  </si>
  <si>
    <t xml:space="preserve">1159271PO</t>
  </si>
  <si>
    <t xml:space="preserve">Вестник Санкт-Петербургского университета. Международные отношения </t>
  </si>
  <si>
    <t xml:space="preserve">1249746PO</t>
  </si>
  <si>
    <t xml:space="preserve">Вестник Санкт-Петербургского университета. Науки о Земле</t>
  </si>
  <si>
    <t xml:space="preserve">1195432PO</t>
  </si>
  <si>
    <t xml:space="preserve">Вестник Санкт-Петербургского университета. Право </t>
  </si>
  <si>
    <t xml:space="preserve">1159277PO</t>
  </si>
  <si>
    <t xml:space="preserve">Вестник Санкт-Петербургского университета. Прикладная математика. Информатика. Процессы управления</t>
  </si>
  <si>
    <t xml:space="preserve">1159269PO</t>
  </si>
  <si>
    <t xml:space="preserve">Вестник Санкт-Петербургского университета. Психология и педагогика</t>
  </si>
  <si>
    <t xml:space="preserve">1159279PO</t>
  </si>
  <si>
    <t xml:space="preserve">Вестник Санкт-Петербургского университета. Социология</t>
  </si>
  <si>
    <t xml:space="preserve">1159273PO</t>
  </si>
  <si>
    <t xml:space="preserve">Вестник Санкт-Петербургского университета. Физика и химия</t>
  </si>
  <si>
    <t xml:space="preserve">1159260PO</t>
  </si>
  <si>
    <t xml:space="preserve">Вестник Санкт-Петербургского университета. Философия и конфликтология</t>
  </si>
  <si>
    <t xml:space="preserve">1195330PO</t>
  </si>
  <si>
    <t xml:space="preserve">Вестник Санкт-Петербургского университета. Экономика </t>
  </si>
  <si>
    <t xml:space="preserve">1159261PO</t>
  </si>
  <si>
    <t xml:space="preserve">Вестник Санкт-Петербургского университета. Язык и литература</t>
  </si>
  <si>
    <t xml:space="preserve">1195436PO</t>
  </si>
  <si>
    <t xml:space="preserve">Вестник современной клинической медицины</t>
  </si>
  <si>
    <t xml:space="preserve">ООО «Многопрофильный медицинский центр «Современная клиническая медицина» </t>
  </si>
  <si>
    <t xml:space="preserve">Вестник Сургутского Государственного Педагогического Университета</t>
  </si>
  <si>
    <t xml:space="preserve">994231PO</t>
  </si>
  <si>
    <t xml:space="preserve">Сургут</t>
  </si>
  <si>
    <t xml:space="preserve">UDB-OBR</t>
  </si>
  <si>
    <t xml:space="preserve">Вестник Томского государственного университета</t>
  </si>
  <si>
    <t xml:space="preserve">ФГАОУ ВО
«Национальный исследовательский Томский государственный университет»</t>
  </si>
  <si>
    <t xml:space="preserve">Социально-гуманитарные науки</t>
  </si>
  <si>
    <t xml:space="preserve">Вестник Томского государственного университета. Биология</t>
  </si>
  <si>
    <t xml:space="preserve">Вестник Томского государственного университета. История</t>
  </si>
  <si>
    <t xml:space="preserve">Вестник Томского государственного университета. Культурология и искусствоведение</t>
  </si>
  <si>
    <t xml:space="preserve">Вестник Томского государственного университета. Математика и механика</t>
  </si>
  <si>
    <t xml:space="preserve">Вестник Томского государственного университета. Право</t>
  </si>
  <si>
    <t xml:space="preserve">Вестник Томского государственного университета. Управление, вычислительная техника и информатика</t>
  </si>
  <si>
    <t xml:space="preserve">Вестник Томского государственного университета. Филология</t>
  </si>
  <si>
    <t xml:space="preserve">Вестник Томского государственного университета. Философия. Социология. Политология</t>
  </si>
  <si>
    <t xml:space="preserve">Вестник Томского государственного университета. Химия</t>
  </si>
  <si>
    <t xml:space="preserve">Вестник Томского государственного университета. Экономика</t>
  </si>
  <si>
    <t xml:space="preserve">Вестник транспорта</t>
  </si>
  <si>
    <t xml:space="preserve">1266992PO</t>
  </si>
  <si>
    <t xml:space="preserve">ИП Капнин Геннадий Михайлович</t>
  </si>
  <si>
    <t xml:space="preserve">Вестник УРФУ.Серия экономика и управление</t>
  </si>
  <si>
    <t xml:space="preserve">1138261PO</t>
  </si>
  <si>
    <t xml:space="preserve">UDB-StUDY</t>
  </si>
  <si>
    <t xml:space="preserve">Вестник хирургии имени И.И. Грекова</t>
  </si>
  <si>
    <t xml:space="preserve">1161260PO</t>
  </si>
  <si>
    <t xml:space="preserve">ФГБОУ ВО ПСПбГМУ им. И.П. Павлова Минздрава России</t>
  </si>
  <si>
    <t xml:space="preserve">Вестник экономического правосудия РФ</t>
  </si>
  <si>
    <t xml:space="preserve">994228PO</t>
  </si>
  <si>
    <t xml:space="preserve">ООО "Редакция журнала "Закон"</t>
  </si>
  <si>
    <t xml:space="preserve">Бывший "Вестник Высшего арбитражного суда Российской Федерации" (до сентября 2014 года). Журнал публикует официальные документы Высшего арбитражного суда Российской Федерации.</t>
  </si>
  <si>
    <t xml:space="preserve">Ветеринария сельскохозяйственнных животных</t>
  </si>
  <si>
    <t xml:space="preserve">Ветеринария, Зоотехния и Биотехнология</t>
  </si>
  <si>
    <t xml:space="preserve">Ветеринарная патология</t>
  </si>
  <si>
    <t xml:space="preserve">Вечерняя Москва (еженедельный выпуск)</t>
  </si>
  <si>
    <t xml:space="preserve">12725</t>
  </si>
  <si>
    <t xml:space="preserve">АО «Редакция газеты «Вечерняя Москва»</t>
  </si>
  <si>
    <t xml:space="preserve">Популярнейшая московская газета, знакомящая читателей с многообразной информацией по самым разным вопросам: от политики и бизнес-новостей до жизни знаменитостей и кулинарных рецептов.</t>
  </si>
  <si>
    <t xml:space="preserve">Вечерняя Москва (утренний выпуск)</t>
  </si>
  <si>
    <t xml:space="preserve">Видеонаблюдение. Видеоаналитика</t>
  </si>
  <si>
    <t xml:space="preserve">Виртуализация. Облачные структуры. Системы хранения данных</t>
  </si>
  <si>
    <t xml:space="preserve">1227263PO</t>
  </si>
  <si>
    <t xml:space="preserve">Виртуальная коммуникация и социальные сети </t>
  </si>
  <si>
    <t xml:space="preserve">Власть</t>
  </si>
  <si>
    <t xml:space="preserve">837995PO</t>
  </si>
  <si>
    <t xml:space="preserve">Общенациональный политический журнал.</t>
  </si>
  <si>
    <t xml:space="preserve">Водные ресурсы</t>
  </si>
  <si>
    <t xml:space="preserve">1183372PO</t>
  </si>
  <si>
    <t xml:space="preserve">Водоочистка</t>
  </si>
  <si>
    <t xml:space="preserve">Водоочистка. Водоподготовка. Водоснабжение</t>
  </si>
  <si>
    <t xml:space="preserve">1303576PO</t>
  </si>
  <si>
    <t xml:space="preserve">ООО "ИД Орион"</t>
  </si>
  <si>
    <t xml:space="preserve">Водоснабжение и санитарная техника</t>
  </si>
  <si>
    <t xml:space="preserve">1348721PO</t>
  </si>
  <si>
    <t xml:space="preserve">ООО "Издательский дом ВСТ"</t>
  </si>
  <si>
    <t xml:space="preserve">Военно-исторический журнал</t>
  </si>
  <si>
    <t xml:space="preserve">12713</t>
  </si>
  <si>
    <t xml:space="preserve">Этот научно-популярный журнал Министерства обороны России был основан в 1939 г. Публикации по истории российской армии, рассказы о ее боевой славе и выдающихся полководцах, а также мемуары, документы, полемика.</t>
  </si>
  <si>
    <t xml:space="preserve">Военно-медицинский журнал</t>
  </si>
  <si>
    <t xml:space="preserve">13827</t>
  </si>
  <si>
    <t xml:space="preserve">Научный журнал Министерства обороны России по вопросам медицины. Рассматриваются вопросы организации медицинской службы в российской армии, морально-психологического состояния солдат, анализируется опыт работы военных госпиталей, публикуются научные работы военных врачей.</t>
  </si>
  <si>
    <t xml:space="preserve">Военные комиссариаты России</t>
  </si>
  <si>
    <t xml:space="preserve">Военный вестник Юга России</t>
  </si>
  <si>
    <t xml:space="preserve">12479</t>
  </si>
  <si>
    <t xml:space="preserve">Еженедельник Краснознаменного Северо-Кавказского военного округа</t>
  </si>
  <si>
    <t xml:space="preserve">Воин России</t>
  </si>
  <si>
    <t xml:space="preserve">Публицистический и литературный журнал Министерства обороны Российской Федерации. Авторы документальных очерков, прозы и поэзии, как правило, военнослужащие или журналисты, пишущие на военные темы.</t>
  </si>
  <si>
    <t xml:space="preserve">Волгоградский научно-медицинский журнал</t>
  </si>
  <si>
    <t xml:space="preserve">Вопросы атомной науки и техники. Серия: Математическое моделирование физических процессов</t>
  </si>
  <si>
    <t xml:space="preserve">1138910PO</t>
  </si>
  <si>
    <t xml:space="preserve">Вопросы атомной науки и техники. Серия: Теоретическая и прикладная физика</t>
  </si>
  <si>
    <t xml:space="preserve">1138909PO</t>
  </si>
  <si>
    <t xml:space="preserve">Вопросы биологической, медицинской и фармацевтической химии</t>
  </si>
  <si>
    <t xml:space="preserve">1159497PO</t>
  </si>
  <si>
    <t xml:space="preserve">ООО "Издательский дом "Русский врач"</t>
  </si>
  <si>
    <t xml:space="preserve">Вопросы вирусологии</t>
  </si>
  <si>
    <t xml:space="preserve">53898</t>
  </si>
  <si>
    <t xml:space="preserve">Web Of Science, Scopus, PubMed, Chemical Abstracts</t>
  </si>
  <si>
    <t xml:space="preserve">Вопросы гинекологии, акушерства и перинатологии</t>
  </si>
  <si>
    <t xml:space="preserve">51532</t>
  </si>
  <si>
    <t xml:space="preserve">ООО "Издательство "Династия"</t>
  </si>
  <si>
    <t xml:space="preserve">UDB-MED</t>
  </si>
  <si>
    <t xml:space="preserve">Исследования и последние изыскания в области гинекологии, акушерстве и перинатологии; обзоры литературы и новых технологий.</t>
  </si>
  <si>
    <t xml:space="preserve">Вопросы государственного и муниципального управления</t>
  </si>
  <si>
    <t xml:space="preserve">1195792PO</t>
  </si>
  <si>
    <t xml:space="preserve">Вопросы детской диетологии</t>
  </si>
  <si>
    <t xml:space="preserve">51542</t>
  </si>
  <si>
    <t xml:space="preserve">Издание Союза педиатров России и Всероссийской ассоциации диетологов. Содержит лекции, статьи и обзоры литературы по детской диетологии.</t>
  </si>
  <si>
    <t xml:space="preserve">Вопросы диетологии</t>
  </si>
  <si>
    <t xml:space="preserve">1222372PO</t>
  </si>
  <si>
    <t xml:space="preserve">Вопросы журналистики</t>
  </si>
  <si>
    <t xml:space="preserve">Вопросы журналистики, педагогики, языкознания</t>
  </si>
  <si>
    <t xml:space="preserve">Вопросы защиты информации</t>
  </si>
  <si>
    <t xml:space="preserve">1263986PO</t>
  </si>
  <si>
    <t xml:space="preserve">ФГУП "НТЦ Оборонного комплекса "Компас"</t>
  </si>
  <si>
    <t xml:space="preserve">Вопросы инновационной экономики</t>
  </si>
  <si>
    <t xml:space="preserve">1222267PO</t>
  </si>
  <si>
    <t xml:space="preserve">ООО «Первое экономическое издательство»</t>
  </si>
  <si>
    <t xml:space="preserve">Вопросы истории</t>
  </si>
  <si>
    <t xml:space="preserve">12621</t>
  </si>
  <si>
    <t xml:space="preserve">ООО "Журнал "Вопросы истории"</t>
  </si>
  <si>
    <t xml:space="preserve">Издание Института всеобщей истории Российской академии наук. Публикуются материалы и исследования по отечественной и мировой истории.</t>
  </si>
  <si>
    <t xml:space="preserve">Вопросы истории естествознания и техники</t>
  </si>
  <si>
    <t xml:space="preserve">13767</t>
  </si>
  <si>
    <t xml:space="preserve">Научный журнал публикует исследования и материалы по истории науки в России и за рубежом. </t>
  </si>
  <si>
    <t xml:space="preserve">Вопросы ихтиологии</t>
  </si>
  <si>
    <t xml:space="preserve">1183374PO</t>
  </si>
  <si>
    <t xml:space="preserve">Вопросы кибербезопасности</t>
  </si>
  <si>
    <t xml:space="preserve">1244212PO</t>
  </si>
  <si>
    <t xml:space="preserve">АО "НПО "Эшелон"</t>
  </si>
  <si>
    <t xml:space="preserve">Вопросы когнитивной лингвистики</t>
  </si>
  <si>
    <t xml:space="preserve">Общероссийская общественная организация "Российская ассоциация лингвистов-когнитологов"</t>
  </si>
  <si>
    <t xml:space="preserve">Вопросы культорологии</t>
  </si>
  <si>
    <t xml:space="preserve">Вопросы курортологии, физиотерапии и лечебной физической культуры</t>
  </si>
  <si>
    <t xml:space="preserve">1284279PO</t>
  </si>
  <si>
    <t xml:space="preserve">Вопросы лексикографии</t>
  </si>
  <si>
    <t xml:space="preserve">Вопросы литературы</t>
  </si>
  <si>
    <t xml:space="preserve">12836</t>
  </si>
  <si>
    <t xml:space="preserve">Автономная некоммерческая организация Редакция журнала критики и литературоведения «Вопросы литературы» </t>
  </si>
  <si>
    <t xml:space="preserve">Авторитетный литературоведческий журнал, публикующий статьи, "круглые столы" и дискуссии, посвященные проблемам российской и мировой литературы, истории и теории литературы.</t>
  </si>
  <si>
    <t xml:space="preserve">Вопросы материаловедения</t>
  </si>
  <si>
    <t xml:space="preserve">1195319PO</t>
  </si>
  <si>
    <t xml:space="preserve">ФГУП "ЦНИИ КМ “Прометей”</t>
  </si>
  <si>
    <t xml:space="preserve">Вопросы музеологии</t>
  </si>
  <si>
    <t xml:space="preserve">1306202PO</t>
  </si>
  <si>
    <t xml:space="preserve">Вопросы наркологии</t>
  </si>
  <si>
    <t xml:space="preserve">50081</t>
  </si>
  <si>
    <t xml:space="preserve">ФГБУ  "НМИЦ ПН им. В.П. Сербского" Минздрава России</t>
  </si>
  <si>
    <t xml:space="preserve">Вопросы оборонной техники. Серия 16. Технические средства противодействия терроризму</t>
  </si>
  <si>
    <t xml:space="preserve">1224283PO</t>
  </si>
  <si>
    <t xml:space="preserve">АО «НПО Спецматериалов»</t>
  </si>
  <si>
    <t xml:space="preserve">Вопросы образования</t>
  </si>
  <si>
    <t xml:space="preserve">1195784PO</t>
  </si>
  <si>
    <t xml:space="preserve">Вопросы онкологии</t>
  </si>
  <si>
    <t xml:space="preserve">1349413PO</t>
  </si>
  <si>
    <t xml:space="preserve">Автономная некоммерческая научно-медицинская организация «Вопросы онкологии»</t>
  </si>
  <si>
    <t xml:space="preserve">Вопросы ономастики</t>
  </si>
  <si>
    <t xml:space="preserve">1138264PO</t>
  </si>
  <si>
    <t xml:space="preserve">Вопросы питания</t>
  </si>
  <si>
    <t xml:space="preserve">1270451PO</t>
  </si>
  <si>
    <t xml:space="preserve">Вопросы практической педиатрии   </t>
  </si>
  <si>
    <t xml:space="preserve">833457PO</t>
  </si>
  <si>
    <t xml:space="preserve">Журнал содержит оригинальные статьи, лекции, обмен опытом, клинические наблюдения по вопросам практической педиатрии.</t>
  </si>
  <si>
    <t xml:space="preserve">Вопросы психолингвистики</t>
  </si>
  <si>
    <t xml:space="preserve">Вопросы психологии</t>
  </si>
  <si>
    <t xml:space="preserve">1188421PO</t>
  </si>
  <si>
    <t xml:space="preserve">ООО "Вопросы психологии"</t>
  </si>
  <si>
    <t xml:space="preserve">UDB-PSY</t>
  </si>
  <si>
    <t xml:space="preserve">"Вопросы психологии" - старейшее отечественное периодическое издание по психологии. </t>
  </si>
  <si>
    <t xml:space="preserve">Вопросы современной педиатрии</t>
  </si>
  <si>
    <t xml:space="preserve">51536</t>
  </si>
  <si>
    <t xml:space="preserve">Вопросы статистики</t>
  </si>
  <si>
    <t xml:space="preserve">50079</t>
  </si>
  <si>
    <t xml:space="preserve">АНО ИИЦ «Статистика России»</t>
  </si>
  <si>
    <t xml:space="preserve">UDB-STAT</t>
  </si>
  <si>
    <t xml:space="preserve">Методология и методы статистического анализа, экономико-статистическая информация о развитии России, стран СНГ, мира.</t>
  </si>
  <si>
    <t xml:space="preserve">Вопросы теологии</t>
  </si>
  <si>
    <t xml:space="preserve">1315464PO</t>
  </si>
  <si>
    <t xml:space="preserve">Вопросы трудового права</t>
  </si>
  <si>
    <t xml:space="preserve">Вопросы управления</t>
  </si>
  <si>
    <t xml:space="preserve">1260877PO</t>
  </si>
  <si>
    <t xml:space="preserve">Менеджмент</t>
  </si>
  <si>
    <t xml:space="preserve">Вопросы урологии и андрологии</t>
  </si>
  <si>
    <t xml:space="preserve">1222373PO</t>
  </si>
  <si>
    <t xml:space="preserve">Вопросы филологии</t>
  </si>
  <si>
    <t xml:space="preserve">13830</t>
  </si>
  <si>
    <t xml:space="preserve">Публикации по литературоведению и языкознанию, методическим проблемам преподавания иностранных языков.</t>
  </si>
  <si>
    <t xml:space="preserve">Вопросы философии</t>
  </si>
  <si>
    <t xml:space="preserve">47614</t>
  </si>
  <si>
    <t xml:space="preserve">Институт философии РАН</t>
  </si>
  <si>
    <t xml:space="preserve">Web Of Science</t>
  </si>
  <si>
    <t xml:space="preserve">Издание Института философии Академии наук России. Обсуждаются современные проблемы российского общественного и духовного развития, становления гражданского общества в России, общие проблемы российской и зарубежной философии.</t>
  </si>
  <si>
    <t xml:space="preserve">Вопросы экономики</t>
  </si>
  <si>
    <t xml:space="preserve">53080</t>
  </si>
  <si>
    <t xml:space="preserve">НП «Вопросы экономики»</t>
  </si>
  <si>
    <t xml:space="preserve">Один из наиболее авторитетных экономических журналов, посвященных анализу реформ, проблемам кредитно-денежной, инвестиционной и социальной политики.</t>
  </si>
  <si>
    <t xml:space="preserve">Вопросы языкового родства</t>
  </si>
  <si>
    <t xml:space="preserve">885633PO</t>
  </si>
  <si>
    <t xml:space="preserve">Российский государственный гуманитарный университет</t>
  </si>
  <si>
    <t xml:space="preserve">Журнал посвящён вопросам сравнительно-исторического языкознания и истории языка и публикует статьи отечественных и зарубежных учёных на английском, русском, французском и немецком языках. </t>
  </si>
  <si>
    <t xml:space="preserve">Вопросы языкознания</t>
  </si>
  <si>
    <t xml:space="preserve">13769</t>
  </si>
  <si>
    <t xml:space="preserve">Журнал Института языкознания Академии наук. Публикует исследования, посвященные русскому и и другим языкам, взаимодействию языков, материалы о научной жизни в России и за рубежом.</t>
  </si>
  <si>
    <t xml:space="preserve">Воспитание детей и молодежи</t>
  </si>
  <si>
    <t xml:space="preserve">Воспитание и обучение детей с нарушениями развития</t>
  </si>
  <si>
    <t xml:space="preserve">1255710PO</t>
  </si>
  <si>
    <t xml:space="preserve">Воспитание школьников</t>
  </si>
  <si>
    <t xml:space="preserve">1257198PO</t>
  </si>
  <si>
    <t xml:space="preserve">Воспитатель ДОУ</t>
  </si>
  <si>
    <t xml:space="preserve">1325194PO</t>
  </si>
  <si>
    <t xml:space="preserve">ООО «Творческий центр СФЕРА»</t>
  </si>
  <si>
    <t xml:space="preserve">Воспитательная работа в школе</t>
  </si>
  <si>
    <t xml:space="preserve">908192PO</t>
  </si>
  <si>
    <t xml:space="preserve">АНО "Издательский дом "Народное образование"</t>
  </si>
  <si>
    <t xml:space="preserve">Научно-практический, методический журнал для директоров школ, завучей, классных руководителей: материалы по теории и методике воспитания, управлению и планированию воспитательной работы, способах и ориентирах в подготовке собственной концепции воспитания в школе, организации внеурочной воспитательной работы, интересные ипродуктивные алгоритмы и технологии воспитания, сценарии интересных воспитательных мероприятий и пути их организации.</t>
  </si>
  <si>
    <t xml:space="preserve">Восстановительные биотехнологии, профилактическая, цифровая и предиктивная медицина</t>
  </si>
  <si>
    <t xml:space="preserve">Восток. Афро-азиатские общества: История и современность</t>
  </si>
  <si>
    <t xml:space="preserve">47622</t>
  </si>
  <si>
    <t xml:space="preserve">Совместный журнал Института востоковедения и Института Африки Академии наук. Публикации по широкому кругу проблем современного развития стран Азии и Африки, а также по истории культурного наследия их народов.</t>
  </si>
  <si>
    <t xml:space="preserve">Востоковедение и Африканистика (Реферативный журнал)</t>
  </si>
  <si>
    <t xml:space="preserve">1304988PO</t>
  </si>
  <si>
    <t xml:space="preserve">Врач </t>
  </si>
  <si>
    <t xml:space="preserve">53133</t>
  </si>
  <si>
    <t xml:space="preserve">Каждый номер журнала посвящен определенной теме. Тематика номеров: гипертоническая болезнь, гастроэнтерология, пульмонология, проблемы боли, заболевания крупных сосудов, нефрология, эндокринология, женское здоровье, болезни суставов, гепатология, бронхиальная астма, инсульт и ишемическая болезнь сердца. Авторы- ведущие специалисты.</t>
  </si>
  <si>
    <t xml:space="preserve">Врач скорой помощи</t>
  </si>
  <si>
    <t xml:space="preserve">ВСЕ МАТЕРИАЛЫ. Энциклопедический справочник с ежемесячным приложением «Комментарии к стандартам, ТУ, сертификатам»</t>
  </si>
  <si>
    <t xml:space="preserve">1193704PO</t>
  </si>
  <si>
    <t xml:space="preserve">ООО "Наука и технологии"</t>
  </si>
  <si>
    <t xml:space="preserve">Все о мясе</t>
  </si>
  <si>
    <t xml:space="preserve">1244905PO</t>
  </si>
  <si>
    <t xml:space="preserve">Пищевые технологии</t>
  </si>
  <si>
    <t xml:space="preserve">Вспомогательные исторические дисциплины</t>
  </si>
  <si>
    <t xml:space="preserve">ФГБУ «Издательство «Наука»</t>
  </si>
  <si>
    <t xml:space="preserve">Вулканология и сейсмология</t>
  </si>
  <si>
    <t xml:space="preserve">1183375PO</t>
  </si>
  <si>
    <t xml:space="preserve">Высокомолекулярные соединения (серия А)</t>
  </si>
  <si>
    <t xml:space="preserve">1183376PO</t>
  </si>
  <si>
    <t xml:space="preserve">Высокомолекулярные соединения (серия Б)</t>
  </si>
  <si>
    <t xml:space="preserve">1183378PO</t>
  </si>
  <si>
    <t xml:space="preserve">Высокомолекулярные соединения (серия С)</t>
  </si>
  <si>
    <t xml:space="preserve">1183379PO</t>
  </si>
  <si>
    <t xml:space="preserve">Высшее образование в России</t>
  </si>
  <si>
    <t xml:space="preserve">1244898PO</t>
  </si>
  <si>
    <t xml:space="preserve">Федеральное государственное бюджетное образовательное учреждение высшего образования «Московский политехнический университет»</t>
  </si>
  <si>
    <t xml:space="preserve">Высшее образование сегодня</t>
  </si>
  <si>
    <t xml:space="preserve">1244903PO</t>
  </si>
  <si>
    <t xml:space="preserve">Вычислительные технологии</t>
  </si>
  <si>
    <t xml:space="preserve">ФГБНУ "Федеральный исследовательский центр информационных и вычислительных технологий"</t>
  </si>
  <si>
    <t xml:space="preserve">Газовая промышленность</t>
  </si>
  <si>
    <t xml:space="preserve">1354676PO</t>
  </si>
  <si>
    <t xml:space="preserve">OOO «Камелот Паблишинг»</t>
  </si>
  <si>
    <t xml:space="preserve">Газ</t>
  </si>
  <si>
    <t xml:space="preserve">Газотурбинные технологии</t>
  </si>
  <si>
    <t xml:space="preserve">1260869PO</t>
  </si>
  <si>
    <t xml:space="preserve">  Издательский Дом "Газотурбинные технологии"</t>
  </si>
  <si>
    <t xml:space="preserve">Рыбинск</t>
  </si>
  <si>
    <t xml:space="preserve">Гальванотехника и обработка поверхностей</t>
  </si>
  <si>
    <t xml:space="preserve">1353197PO</t>
  </si>
  <si>
    <t xml:space="preserve">ООО "Гальванотех"</t>
  </si>
  <si>
    <t xml:space="preserve">Гастроэнтерология сегодня</t>
  </si>
  <si>
    <t xml:space="preserve">4(6)</t>
  </si>
  <si>
    <t xml:space="preserve">Гематология и трансфузиология</t>
  </si>
  <si>
    <t xml:space="preserve">972515PO</t>
  </si>
  <si>
    <t xml:space="preserve">ФГБУ «Национальный медицинский исследовательский центр гематологии» Министерства здравоохранения Российской Федерации </t>
  </si>
  <si>
    <t xml:space="preserve">Генеральный директор: управление промышленным предприятием</t>
  </si>
  <si>
    <t xml:space="preserve">Генетика</t>
  </si>
  <si>
    <t xml:space="preserve">1183380PO</t>
  </si>
  <si>
    <t xml:space="preserve">География в школе</t>
  </si>
  <si>
    <t xml:space="preserve">1252307PO</t>
  </si>
  <si>
    <t xml:space="preserve">География и природные ресурсы</t>
  </si>
  <si>
    <t xml:space="preserve">816207PO</t>
  </si>
  <si>
    <t xml:space="preserve">География и экология в школе XXI века</t>
  </si>
  <si>
    <t xml:space="preserve">1290531PO</t>
  </si>
  <si>
    <t xml:space="preserve">ООО ГЕОЭКО</t>
  </si>
  <si>
    <t xml:space="preserve">Геодинамика и тектонофизика</t>
  </si>
  <si>
    <t xml:space="preserve">Институт земной коры Сибирского отделения Российской академии наук</t>
  </si>
  <si>
    <t xml:space="preserve">Иркутск</t>
  </si>
  <si>
    <t xml:space="preserve">Геоинформатика</t>
  </si>
  <si>
    <t xml:space="preserve">1293617PO</t>
  </si>
  <si>
    <t xml:space="preserve">ФБГУ "ВНИГНИ"</t>
  </si>
  <si>
    <t xml:space="preserve">Геология и геофизика</t>
  </si>
  <si>
    <t xml:space="preserve">830985PO</t>
  </si>
  <si>
    <t xml:space="preserve">Журнал публикует общетеоретические и методические статьи по всем вопросам геологии и геофизики. Его отличие от других геологических журналов в наибольшем охвате тематики в области наук о Земле: палеонтология и региональная геология, минералогия и петрология, проблемы геотектоники и геоморфологии полезных ископаемых, металлогении и геохимии, глобальная и разведочная геофизика, различные аспекты экспериментов моделирования природных процессов. </t>
  </si>
  <si>
    <t xml:space="preserve">Геология нефти и газа</t>
  </si>
  <si>
    <t xml:space="preserve">1301310PO</t>
  </si>
  <si>
    <t xml:space="preserve">Геология рудных месторождений</t>
  </si>
  <si>
    <t xml:space="preserve">1183381PO</t>
  </si>
  <si>
    <t xml:space="preserve">Геология, геофизика и разработка нефтяных и газовых месторождений</t>
  </si>
  <si>
    <t xml:space="preserve">1244561PO</t>
  </si>
  <si>
    <t xml:space="preserve">Геомагнетизм и аэрономия</t>
  </si>
  <si>
    <t xml:space="preserve">1183382PO</t>
  </si>
  <si>
    <t xml:space="preserve">Геометрия и графика</t>
  </si>
  <si>
    <t xml:space="preserve">1305204PO</t>
  </si>
  <si>
    <t xml:space="preserve">Геоморфология</t>
  </si>
  <si>
    <t xml:space="preserve">1183385PO</t>
  </si>
  <si>
    <t xml:space="preserve">Геосферные исследования</t>
  </si>
  <si>
    <t xml:space="preserve">Геотектоника</t>
  </si>
  <si>
    <t xml:space="preserve">1183387PO</t>
  </si>
  <si>
    <t xml:space="preserve">Геохимия</t>
  </si>
  <si>
    <t xml:space="preserve">1183388PO</t>
  </si>
  <si>
    <t xml:space="preserve">Геоэкология. Инженерная геология, гидрогеология, геокриология</t>
  </si>
  <si>
    <t xml:space="preserve">1183389PO</t>
  </si>
  <si>
    <t xml:space="preserve">Гепатология и гастроэнтерология</t>
  </si>
  <si>
    <t xml:space="preserve">Учреждение образования «Гродненский государственный медицинский университет»</t>
  </si>
  <si>
    <t xml:space="preserve">Гродно</t>
  </si>
  <si>
    <t xml:space="preserve">Герменевтика древнерусской литературы</t>
  </si>
  <si>
    <t xml:space="preserve">Гигиена и санитария</t>
  </si>
  <si>
    <t xml:space="preserve">762602PO</t>
  </si>
  <si>
    <t xml:space="preserve">Федеральное бюджетное учреждение науки «Федеральный научный центр гигиены им. Ф.Ф. Эрисмана»</t>
  </si>
  <si>
    <t xml:space="preserve">Scopus, PubMed, Chemical Abstracts</t>
  </si>
  <si>
    <t xml:space="preserve">Гидротехника</t>
  </si>
  <si>
    <t xml:space="preserve">ООО Медиагруппа "Порт-Ньюс"</t>
  </si>
  <si>
    <t xml:space="preserve">Гидротехническое строительство</t>
  </si>
  <si>
    <t xml:space="preserve">1338117PO</t>
  </si>
  <si>
    <t xml:space="preserve">Глава местной администрации</t>
  </si>
  <si>
    <t xml:space="preserve">Главврач</t>
  </si>
  <si>
    <t xml:space="preserve">Главный агроном</t>
  </si>
  <si>
    <t xml:space="preserve">Главный врач</t>
  </si>
  <si>
    <t xml:space="preserve">ООО «Центр изучения проблем здравоохранения и образования»</t>
  </si>
  <si>
    <t xml:space="preserve">В 2025 году выходить не будет</t>
  </si>
  <si>
    <t xml:space="preserve">Главный зоотехник</t>
  </si>
  <si>
    <t xml:space="preserve">Главный инженер: управление промышленным производством</t>
  </si>
  <si>
    <t xml:space="preserve">Главный метролог</t>
  </si>
  <si>
    <t xml:space="preserve">ФБУ «НИЦ ПМ-Ростест»</t>
  </si>
  <si>
    <t xml:space="preserve">Главный механик</t>
  </si>
  <si>
    <t xml:space="preserve">Главный энергетик</t>
  </si>
  <si>
    <t xml:space="preserve">Глобальная ядерная безопасность</t>
  </si>
  <si>
    <t xml:space="preserve">Горение и взрыв</t>
  </si>
  <si>
    <t xml:space="preserve">ООО "ТОРУС ПРЕСС"</t>
  </si>
  <si>
    <t xml:space="preserve">Горная промышленность</t>
  </si>
  <si>
    <t xml:space="preserve">1263987PO</t>
  </si>
  <si>
    <t xml:space="preserve">ООО Научно-производственная компания "Гемос Лимитед"</t>
  </si>
  <si>
    <t xml:space="preserve">Горные науки и технологии</t>
  </si>
  <si>
    <t xml:space="preserve">Горный журнал</t>
  </si>
  <si>
    <t xml:space="preserve">1234024PO</t>
  </si>
  <si>
    <t xml:space="preserve">Горный информационно-аналитический бюллетень"</t>
  </si>
  <si>
    <t xml:space="preserve">1342922PO</t>
  </si>
  <si>
    <t xml:space="preserve">ООО «Горная книга»</t>
  </si>
  <si>
    <t xml:space="preserve">Многопользовательский, ip-идентификация, логин/пароль + Однопользовательский, логин/пароль (редакционная версия)</t>
  </si>
  <si>
    <t xml:space="preserve">Городская архитектура. Градостроительство</t>
  </si>
  <si>
    <t xml:space="preserve">1187968PO</t>
  </si>
  <si>
    <t xml:space="preserve">Городские исследования и практики</t>
  </si>
  <si>
    <t xml:space="preserve">Госзакупки: тендеры, конкурсы, торги</t>
  </si>
  <si>
    <t xml:space="preserve">1227978PO</t>
  </si>
  <si>
    <t xml:space="preserve">Государственные закупки</t>
  </si>
  <si>
    <t xml:space="preserve">Гостиничное дело</t>
  </si>
  <si>
    <t xml:space="preserve">Государственная служба</t>
  </si>
  <si>
    <t xml:space="preserve">1333326PO</t>
  </si>
  <si>
    <t xml:space="preserve">Государственная служба и кадры</t>
  </si>
  <si>
    <t xml:space="preserve">1215266PO</t>
  </si>
  <si>
    <t xml:space="preserve">Государство и право</t>
  </si>
  <si>
    <t xml:space="preserve">Научный журнал, посвященный теоретическим исследованиям в области юриспруденции и государственного права. Публикует материалы по вопросам конституции и законодательства РФ.</t>
  </si>
  <si>
    <t xml:space="preserve">Государство и право (Реферативный журнал)</t>
  </si>
  <si>
    <t xml:space="preserve">1305026PO</t>
  </si>
  <si>
    <t xml:space="preserve">Государство, религия, церковь в России и за рубежом</t>
  </si>
  <si>
    <t xml:space="preserve">957558PO</t>
  </si>
  <si>
    <t xml:space="preserve">Гражданская защита</t>
  </si>
  <si>
    <t xml:space="preserve">1278869PO</t>
  </si>
  <si>
    <t xml:space="preserve">ФГБУ  «МЧС Медиа»</t>
  </si>
  <si>
    <t xml:space="preserve">Гражданская оборона и защита от чрезвычайных ситуаций в учреждениях, организациях и на предприятиях</t>
  </si>
  <si>
    <t xml:space="preserve">1325590PO</t>
  </si>
  <si>
    <t xml:space="preserve">Гражданская оборона и защита от чрезвычайных ситуациях в медицинских организациях</t>
  </si>
  <si>
    <t xml:space="preserve">1351769PO</t>
  </si>
  <si>
    <t xml:space="preserve">Грудная и сердечно-сосудистая хирургия</t>
  </si>
  <si>
    <t xml:space="preserve">1195429PO</t>
  </si>
  <si>
    <t xml:space="preserve">Грузовик</t>
  </si>
  <si>
    <t xml:space="preserve">Грузовое и пассажирское автохозяйство</t>
  </si>
  <si>
    <t xml:space="preserve">Гудок</t>
  </si>
  <si>
    <t xml:space="preserve">50369</t>
  </si>
  <si>
    <t xml:space="preserve">АО "Издательский дом "Гудок"</t>
  </si>
  <si>
    <t xml:space="preserve">Газета предоставляет своим читателям качественную и непредвзятую оперативную информацию, необходимую в принятии решений и создает площадку для обмена идеями для всех игроков транспортного рынка. </t>
  </si>
  <si>
    <t xml:space="preserve">Гуманитарные науки в Сибири</t>
  </si>
  <si>
    <t xml:space="preserve">767985PO</t>
  </si>
  <si>
    <t xml:space="preserve">В журнале печатаются результаты оригинальных научных исследований и обзорные статьи по наиболее актуальным проблемам гуманитарных наук; публикуются материалы археологических, этнографических, фольклорных, археографических экспедиций, социологических обследований и опросов; осуществляется публикация ранее не введенных в научный оборот архивных документов.</t>
  </si>
  <si>
    <t xml:space="preserve">Гуманитарные науки.Вестник Финансового университета</t>
  </si>
  <si>
    <t xml:space="preserve">1228560PO</t>
  </si>
  <si>
    <t xml:space="preserve">Гуманитарный вектор</t>
  </si>
  <si>
    <t xml:space="preserve">  ФГБОУ ВО "Забайкальский государственный университет"</t>
  </si>
  <si>
    <t xml:space="preserve">Чита</t>
  </si>
  <si>
    <t xml:space="preserve">Гуманитарный вестник</t>
  </si>
  <si>
    <t xml:space="preserve">1264920PO</t>
  </si>
  <si>
    <t xml:space="preserve">В журнале отражаются результаты новейших исследований в области гуманитарных наук, причем как фундаментального, так и прикладного характера.</t>
  </si>
  <si>
    <t xml:space="preserve">Дайджест-Финансы</t>
  </si>
  <si>
    <t xml:space="preserve">914924PO</t>
  </si>
  <si>
    <t xml:space="preserve">Журнал освещает финансовую ситуацию в России и СНГ, обзор финансового и фондового рынков, инвестиционную политику, финансы компаний, обзор отечественной и зарубежной прессы по экономике и финансам, проблемы, прогнозы, мнения, факты. </t>
  </si>
  <si>
    <t xml:space="preserve">Дальний Восток</t>
  </si>
  <si>
    <t xml:space="preserve">1332571PO</t>
  </si>
  <si>
    <t xml:space="preserve">Дальневосточная государственная научная библиотека</t>
  </si>
  <si>
    <t xml:space="preserve">Хабаровск</t>
  </si>
  <si>
    <t xml:space="preserve">Литературный журнал</t>
  </si>
  <si>
    <t xml:space="preserve">Датчики и системы</t>
  </si>
  <si>
    <t xml:space="preserve">1213062PO</t>
  </si>
  <si>
    <t xml:space="preserve">ООО "Сенсидат-Плюс" </t>
  </si>
  <si>
    <t xml:space="preserve">Два века русской классики</t>
  </si>
  <si>
    <t xml:space="preserve">Двигателестроение</t>
  </si>
  <si>
    <t xml:space="preserve">Дезинфикционное дело</t>
  </si>
  <si>
    <t xml:space="preserve">НП "Национальная организация дезинфикционистов"</t>
  </si>
  <si>
    <t xml:space="preserve">Делопроизводство</t>
  </si>
  <si>
    <t xml:space="preserve">1258458PO</t>
  </si>
  <si>
    <t xml:space="preserve">Дентальная имплантология и хирургия</t>
  </si>
  <si>
    <t xml:space="preserve">1349437PO</t>
  </si>
  <si>
    <t xml:space="preserve">ООО «Медицинская пресса»</t>
  </si>
  <si>
    <t xml:space="preserve">Деньги и кредит</t>
  </si>
  <si>
    <t xml:space="preserve">914925PO</t>
  </si>
  <si>
    <t xml:space="preserve">Ежемесячный теоретический, научно-практический журнал. Издается с 1927 г. Учредитель — Центральный банк Российской Федерации.
В журнале освещаются актуальные проблемы российской экономики и банковской системы, вопросы денежно-кредитной и валютной политики, многогранная банковская деятельность, мировой банковский опыт, исторические события. </t>
  </si>
  <si>
    <t xml:space="preserve">Детская Роман-газета</t>
  </si>
  <si>
    <t xml:space="preserve">ООО "Роман-газета"</t>
  </si>
  <si>
    <t xml:space="preserve">Детская хирургия</t>
  </si>
  <si>
    <t xml:space="preserve">972516PO</t>
  </si>
  <si>
    <t xml:space="preserve">Союз медицинского сообщества «Национальная Медицинская Палата»</t>
  </si>
  <si>
    <t xml:space="preserve">Детские болезни сердца и сосудов</t>
  </si>
  <si>
    <t xml:space="preserve">1195426PO</t>
  </si>
  <si>
    <t xml:space="preserve">Детские инфекции</t>
  </si>
  <si>
    <t xml:space="preserve">1213117PO</t>
  </si>
  <si>
    <t xml:space="preserve">ООО "Диагностика и вакцины"</t>
  </si>
  <si>
    <t xml:space="preserve">Детский досуг</t>
  </si>
  <si>
    <t xml:space="preserve">Детский сад от А до Я</t>
  </si>
  <si>
    <t xml:space="preserve">Детское творчество</t>
  </si>
  <si>
    <t xml:space="preserve">1231732PO</t>
  </si>
  <si>
    <t xml:space="preserve">Дефектология</t>
  </si>
  <si>
    <t xml:space="preserve">1255714PO</t>
  </si>
  <si>
    <t xml:space="preserve">Дефектоскопия </t>
  </si>
  <si>
    <t xml:space="preserve">1183390PO</t>
  </si>
  <si>
    <t xml:space="preserve">Деформация и разрушение материалов</t>
  </si>
  <si>
    <t xml:space="preserve">1193703PO</t>
  </si>
  <si>
    <t xml:space="preserve">Диабет. Образ жизни</t>
  </si>
  <si>
    <t xml:space="preserve">Дилетант</t>
  </si>
  <si>
    <t xml:space="preserve">1189099PO</t>
  </si>
  <si>
    <t xml:space="preserve">ООО "Образование-21 век"</t>
  </si>
  <si>
    <t xml:space="preserve">Динамика сложных систем — XXI век</t>
  </si>
  <si>
    <t xml:space="preserve">1308064PO</t>
  </si>
  <si>
    <t xml:space="preserve">Дипломатическая служба</t>
  </si>
  <si>
    <t xml:space="preserve">Директор по маркетингу и сбыту</t>
  </si>
  <si>
    <t xml:space="preserve">Директор школы</t>
  </si>
  <si>
    <t xml:space="preserve">908225PO</t>
  </si>
  <si>
    <t xml:space="preserve">ООО "Издательская фирма "Сентябрь"</t>
  </si>
  <si>
    <t xml:space="preserve">Научно-методический журнал для руководителей учебных заведений и органов образования. Главной темой является управление в образовании. Цель журнала — поддержать директоров школ как управленцев, лидеров, наставников и просто людей, глубоко неравнодушных к своей профессии</t>
  </si>
  <si>
    <t xml:space="preserve">Дискретная математика</t>
  </si>
  <si>
    <t xml:space="preserve">Федеральное государственное бюджетное учреждение науки Математический институт им. В.А. Стеклова Российской академии наук (МИАН)</t>
  </si>
  <si>
    <t xml:space="preserve">Дискретный анализ и исследование операций</t>
  </si>
  <si>
    <t xml:space="preserve">816209PO</t>
  </si>
  <si>
    <t xml:space="preserve">Публикуются оригинальные статьи, содержащие теоретические результаты в области дискретного анализа и исследования операций, статьи прикладной направленности, представляющие интерес с точки зрения практического приложения полученных результатов, а также обзорные статьи по данной тематике, краткие научные сообщения, информация о новых книгах.</t>
  </si>
  <si>
    <t xml:space="preserve">Дифференциальные уравнения</t>
  </si>
  <si>
    <t xml:space="preserve">1276767PO</t>
  </si>
  <si>
    <t xml:space="preserve">Дифференциальные уравнения и процессы управления</t>
  </si>
  <si>
    <t xml:space="preserve">Доказательная гастроэнтерология</t>
  </si>
  <si>
    <t xml:space="preserve">1295888PO</t>
  </si>
  <si>
    <t xml:space="preserve">Доказательная педагогика, психология</t>
  </si>
  <si>
    <t xml:space="preserve">Доклады Академии наук высшей школы России</t>
  </si>
  <si>
    <t xml:space="preserve">816202PO</t>
  </si>
  <si>
    <t xml:space="preserve">Публикует статьи по следующим основным научным направлениям: естественные науки, технические науки, гуманитарные и социально-экономические науки, горные науки, металлургия и технология новых материалов, науки о Человеке (в том числе медицина) и др.</t>
  </si>
  <si>
    <t xml:space="preserve">Доклады Академии Наук. Математика, информатика, процессы управления</t>
  </si>
  <si>
    <t xml:space="preserve">1273898PO</t>
  </si>
  <si>
    <t xml:space="preserve">Доклады Академии Наук. Науки о жизни</t>
  </si>
  <si>
    <t xml:space="preserve">1273900PO</t>
  </si>
  <si>
    <t xml:space="preserve">Доклады Академии Наук. Науки о Земле</t>
  </si>
  <si>
    <t xml:space="preserve">1273901PO</t>
  </si>
  <si>
    <t xml:space="preserve">Доклады Академии Наук. Физика, технические науки</t>
  </si>
  <si>
    <t xml:space="preserve">1273902PO</t>
  </si>
  <si>
    <t xml:space="preserve">Доклады Академии Наук. Химия, науки о материалах</t>
  </si>
  <si>
    <t xml:space="preserve">1273904PO</t>
  </si>
  <si>
    <t xml:space="preserve">Дом культуры</t>
  </si>
  <si>
    <t xml:space="preserve">Дополнительное образование и воспитание</t>
  </si>
  <si>
    <t xml:space="preserve">1318429PO</t>
  </si>
  <si>
    <t xml:space="preserve">ООО "Вилена"</t>
  </si>
  <si>
    <t xml:space="preserve">Дорожно-строительная техника и технологии</t>
  </si>
  <si>
    <t xml:space="preserve">1228078PO</t>
  </si>
  <si>
    <t xml:space="preserve">Достоевский и мировая культура. Филологический журнал</t>
  </si>
  <si>
    <t xml:space="preserve">1332682PO</t>
  </si>
  <si>
    <t xml:space="preserve">Достоевский: Материалы и исследования</t>
  </si>
  <si>
    <t xml:space="preserve">2004143PO</t>
  </si>
  <si>
    <t xml:space="preserve">Нерегулярно</t>
  </si>
  <si>
    <t xml:space="preserve">Авторитетный сборник научных работ о великом русском писателе. Его участники – ведущие ученые России и других стран. В нем всегда публикуются новые материалы из необъятного архива Достоевского. Выход в свет каждого выпуска этого сборника – заметное событие в российском и мировом литературоведении.</t>
  </si>
  <si>
    <t xml:space="preserve">Дошкольная педагогика</t>
  </si>
  <si>
    <t xml:space="preserve">1284231PO</t>
  </si>
  <si>
    <t xml:space="preserve">ООО "Издательство "Детство-Пресс"</t>
  </si>
  <si>
    <t xml:space="preserve">Дошкольное воспитание</t>
  </si>
  <si>
    <t xml:space="preserve">1284223PO</t>
  </si>
  <si>
    <t xml:space="preserve">Драгоценные камни. Драгоценные металлы</t>
  </si>
  <si>
    <t xml:space="preserve">Дружба народов</t>
  </si>
  <si>
    <t xml:space="preserve">12607</t>
  </si>
  <si>
    <t xml:space="preserve">АНО Редакция журнала "Дружба народоа"</t>
  </si>
  <si>
    <t xml:space="preserve">Литературный и общественно-политический журнал, традиционно ориентирующися на переводы произведений пишущих не по-русски писателей и поэтов бывшего СССР.</t>
  </si>
  <si>
    <t xml:space="preserve">Духовно-нравственное воспистание</t>
  </si>
  <si>
    <t xml:space="preserve">Евразийский онкологический журнал</t>
  </si>
  <si>
    <t xml:space="preserve">988831PO</t>
  </si>
  <si>
    <t xml:space="preserve">Издательское частное унитарное предприятие
«Профессиональные издания»</t>
  </si>
  <si>
    <t xml:space="preserve">Минск</t>
  </si>
  <si>
    <t xml:space="preserve">Европейская безопасность:события, оценки, прогнозы</t>
  </si>
  <si>
    <t xml:space="preserve">Ежегодник ЦАМТО: статистика и анализ мировой торговли оружием</t>
  </si>
  <si>
    <t xml:space="preserve">1293721PO</t>
  </si>
  <si>
    <t xml:space="preserve">ООО "Агентство "Стратегический консалтинг"</t>
  </si>
  <si>
    <t xml:space="preserve">Жанры речи</t>
  </si>
  <si>
    <t xml:space="preserve">1317268PO</t>
  </si>
  <si>
    <t xml:space="preserve"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</si>
  <si>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 xml:space="preserve">Саратов</t>
  </si>
  <si>
    <t xml:space="preserve">Железнодорожник</t>
  </si>
  <si>
    <t xml:space="preserve">Железнодорожные перевозки</t>
  </si>
  <si>
    <t xml:space="preserve">1228100PO</t>
  </si>
  <si>
    <t xml:space="preserve">Железнодорожный транспорт</t>
  </si>
  <si>
    <t xml:space="preserve">Железные дороги мира</t>
  </si>
  <si>
    <t xml:space="preserve">Живая Электроника России</t>
  </si>
  <si>
    <t xml:space="preserve">ООО "ИД Электроника"</t>
  </si>
  <si>
    <t xml:space="preserve">Живописная Россия</t>
  </si>
  <si>
    <t xml:space="preserve">Животноводство России</t>
  </si>
  <si>
    <t xml:space="preserve">ООО «ИД «Животноводство»</t>
  </si>
  <si>
    <t xml:space="preserve">Жилищное право</t>
  </si>
  <si>
    <t xml:space="preserve">Жилищное строительство</t>
  </si>
  <si>
    <t xml:space="preserve">1191365PO</t>
  </si>
  <si>
    <t xml:space="preserve">ООО РИФ "Стройматериалы" </t>
  </si>
  <si>
    <t xml:space="preserve">Жилищные стратегии</t>
  </si>
  <si>
    <t xml:space="preserve">1222274PO</t>
  </si>
  <si>
    <t xml:space="preserve">ООО «Первое экономическое издательство» </t>
  </si>
  <si>
    <t xml:space="preserve">ЖКХ: трансформация и технологии (ранее ЖКХ: управление, инвестиции, технологии)</t>
  </si>
  <si>
    <t xml:space="preserve">1228104PO</t>
  </si>
  <si>
    <t xml:space="preserve">ЖКХ</t>
  </si>
  <si>
    <t xml:space="preserve">ЖКХэксперт: экономика и право</t>
  </si>
  <si>
    <t xml:space="preserve">ЗАО «Центр муниципальной экономики и права»</t>
  </si>
  <si>
    <t xml:space="preserve">Журнал аналитической химии</t>
  </si>
  <si>
    <t xml:space="preserve">1183392PO</t>
  </si>
  <si>
    <t xml:space="preserve">Журнал Вопросы нейрохирургии им. Н.Н. Бурденко</t>
  </si>
  <si>
    <t xml:space="preserve">1295889PO</t>
  </si>
  <si>
    <t xml:space="preserve">Журнал высшей нервной деятельности им. И.П. Павлова</t>
  </si>
  <si>
    <t xml:space="preserve">1183393PO</t>
  </si>
  <si>
    <t xml:space="preserve">Журнал вычислительной математики и математической физики</t>
  </si>
  <si>
    <t xml:space="preserve">1183394PO</t>
  </si>
  <si>
    <t xml:space="preserve">Журнал Гродненского государственного медицинского университета</t>
  </si>
  <si>
    <t xml:space="preserve">1186685PO</t>
  </si>
  <si>
    <t xml:space="preserve">Журнал зарубежного законодательства и сравнительного правоведения</t>
  </si>
  <si>
    <t xml:space="preserve">1252354PO</t>
  </si>
  <si>
    <t xml:space="preserve">Журнал исследований по управлению</t>
  </si>
  <si>
    <t xml:space="preserve">Журнал неврологии и психиатрии им. С.С. Корсакова</t>
  </si>
  <si>
    <t xml:space="preserve">1284280PO</t>
  </si>
  <si>
    <t xml:space="preserve">Журнал неорганической химии</t>
  </si>
  <si>
    <t xml:space="preserve">1183395PO</t>
  </si>
  <si>
    <t xml:space="preserve">Журнал общей биологии</t>
  </si>
  <si>
    <t xml:space="preserve">1183396PO</t>
  </si>
  <si>
    <t xml:space="preserve">Журнал общей химии</t>
  </si>
  <si>
    <t xml:space="preserve">1183397PO</t>
  </si>
  <si>
    <t xml:space="preserve">Журнал органической химии</t>
  </si>
  <si>
    <t xml:space="preserve">1183398PO</t>
  </si>
  <si>
    <t xml:space="preserve">Журнал педагогических исследований</t>
  </si>
  <si>
    <t xml:space="preserve">Журнал политических исследований</t>
  </si>
  <si>
    <t xml:space="preserve">Журнал предпринимательского и корпоративного права</t>
  </si>
  <si>
    <t xml:space="preserve">ООО "Юридический дом "Юстицинформ"</t>
  </si>
  <si>
    <t xml:space="preserve">Журнал прикладной спектроскопии</t>
  </si>
  <si>
    <t xml:space="preserve">1214266PO</t>
  </si>
  <si>
    <t xml:space="preserve">Институт Физики НАН Беларуси</t>
  </si>
  <si>
    <t xml:space="preserve">Журнал прикладной химии</t>
  </si>
  <si>
    <t xml:space="preserve">1183399PO</t>
  </si>
  <si>
    <t xml:space="preserve">Журнал Российского права</t>
  </si>
  <si>
    <t xml:space="preserve">1252355PO</t>
  </si>
  <si>
    <t xml:space="preserve">Журнал Средневолжского математического общества</t>
  </si>
  <si>
    <t xml:space="preserve">Журнал структурной химии</t>
  </si>
  <si>
    <t xml:space="preserve">816200PO</t>
  </si>
  <si>
    <t xml:space="preserve">Институт неорганической химии им. А.В. Николаева Сибирского отделения Российской академии наук</t>
  </si>
  <si>
    <t xml:space="preserve">Журнал адресован специалистам, работающим в области квантовой химии, физических методов исследования, кристаллохимии, строения жидкостей, а также широкому кругу химиков. Своеобразие журнала заключается в том, что в публикуемых работах широко применяются современные физические методы, оригинальные теоретические и экспериментальные подходы.</t>
  </si>
  <si>
    <t xml:space="preserve">Журнал технической физики</t>
  </si>
  <si>
    <t xml:space="preserve">1183400PO</t>
  </si>
  <si>
    <t xml:space="preserve">Журнал физической химии</t>
  </si>
  <si>
    <t xml:space="preserve">1183401PO</t>
  </si>
  <si>
    <t xml:space="preserve">Журнал эволюционной биохимии и физиологии</t>
  </si>
  <si>
    <t xml:space="preserve">1183402PO</t>
  </si>
  <si>
    <t xml:space="preserve">Журнал экспериментальной и теоретической физики</t>
  </si>
  <si>
    <t xml:space="preserve">1183507PO</t>
  </si>
  <si>
    <t xml:space="preserve">Журнал юридических исследований </t>
  </si>
  <si>
    <t xml:space="preserve">Журналист</t>
  </si>
  <si>
    <t xml:space="preserve">916529PO</t>
  </si>
  <si>
    <t xml:space="preserve">  ООО "Медиагруппа Журналист"</t>
  </si>
  <si>
    <t xml:space="preserve">“Журналист” – это прежде всего журнал влияния. Приоритетны: острейшие проблемы нынешнего медиасообщества – формирование информационного пространства страны, законотворчество, взаимоотношения прессы и власти, защита прав конкретного журналиста, демократические преобразования в прессе на базе свободы слова.</t>
  </si>
  <si>
    <t xml:space="preserve">Заводская лаборатория. Диагностика материалов</t>
  </si>
  <si>
    <t xml:space="preserve">1195934PO</t>
  </si>
  <si>
    <t xml:space="preserve">Редакция журнала «Заводская лаборатория.  Диагностика материалов» </t>
  </si>
  <si>
    <t xml:space="preserve">Завтра</t>
  </si>
  <si>
    <t xml:space="preserve">12195</t>
  </si>
  <si>
    <t xml:space="preserve">ООО "Редакция газеты-еженедельника "Завтра"</t>
  </si>
  <si>
    <t xml:space="preserve">Еженедельная газета, стоящая на радикально-консервативных позициях. </t>
  </si>
  <si>
    <t xml:space="preserve">Заготовительные производства в машиностроении</t>
  </si>
  <si>
    <t xml:space="preserve">1242511PO</t>
  </si>
  <si>
    <t xml:space="preserve">ЗАГС</t>
  </si>
  <si>
    <t xml:space="preserve">Закон</t>
  </si>
  <si>
    <t xml:space="preserve">12174</t>
  </si>
  <si>
    <t xml:space="preserve">Нормативные акты и комментарии к ним, материалы по судебной и арбитражной практике, опыт применения законодательства.</t>
  </si>
  <si>
    <t xml:space="preserve">Закон и власть</t>
  </si>
  <si>
    <t xml:space="preserve"> ООО «Издательство КноРус»</t>
  </si>
  <si>
    <t xml:space="preserve">Закон и право</t>
  </si>
  <si>
    <t xml:space="preserve">1215269PO</t>
  </si>
  <si>
    <t xml:space="preserve">Законодательная и прикладная метрология</t>
  </si>
  <si>
    <t xml:space="preserve">Закупки и снабжение</t>
  </si>
  <si>
    <t xml:space="preserve">1228109PO</t>
  </si>
  <si>
    <t xml:space="preserve">Записки Российского минералогического общества</t>
  </si>
  <si>
    <t xml:space="preserve">1183508PO</t>
  </si>
  <si>
    <t xml:space="preserve">Заработная плата. Расчеты, учет, налоги</t>
  </si>
  <si>
    <t xml:space="preserve">1188923PO</t>
  </si>
  <si>
    <t xml:space="preserve">Издательство "Дело и сервис"</t>
  </si>
  <si>
    <t xml:space="preserve">Методические и практические материалы по вопросам: организация и оплата труда, отраслевое и районное регулирование заработной платы, льготы и компенсации, бухгалтерский, налоговый и статистический учет расчетов, налоги и удержания, документооборот и отчетность, а также денежное содержание госслужащих и военнослужащих.</t>
  </si>
  <si>
    <t xml:space="preserve">Зарубежное военное обозрение</t>
  </si>
  <si>
    <t xml:space="preserve">12445</t>
  </si>
  <si>
    <t xml:space="preserve">Иллюстрированное информационно-аналитическое издание Министерства обороны Российской Федерации. Освещаются вопросы военно-политической обстановки в различных районах мира, состояния вооруженных сил зарубежных стран, развития вооружений и военной техники и т.д.</t>
  </si>
  <si>
    <t xml:space="preserve">Защита и безопасность</t>
  </si>
  <si>
    <t xml:space="preserve">816208PO</t>
  </si>
  <si>
    <t xml:space="preserve">  Редакция журнала "Защита и безопасность"</t>
  </si>
  <si>
    <t xml:space="preserve">Научно-технический и общественно-правовой журнал. Индивидуальное защитное снаряжение, инженерная защита государственных объектов и банков.</t>
  </si>
  <si>
    <t xml:space="preserve">Защита информации. Инсайд</t>
  </si>
  <si>
    <t xml:space="preserve">1295833PO</t>
  </si>
  <si>
    <t xml:space="preserve">ООО "Издательский дом "Афина"</t>
  </si>
  <si>
    <t xml:space="preserve">Защита окружающей среды в нефтегазовом комплексе</t>
  </si>
  <si>
    <t xml:space="preserve">1242723PO</t>
  </si>
  <si>
    <t xml:space="preserve">Защита персональных данных</t>
  </si>
  <si>
    <t xml:space="preserve">1228114PO</t>
  </si>
  <si>
    <t xml:space="preserve">Защити меня</t>
  </si>
  <si>
    <t xml:space="preserve">Звезда</t>
  </si>
  <si>
    <t xml:space="preserve">ООО "Журнал "Звезда"</t>
  </si>
  <si>
    <t xml:space="preserve">Старейший петербургский литературный журнал. Традиционно уделяет большое внимание публикациям из отечественных и зарубежных архивов, собственно исторических материалов.</t>
  </si>
  <si>
    <t xml:space="preserve">Звезда Поволжья</t>
  </si>
  <si>
    <t xml:space="preserve">Региональная пресса</t>
  </si>
  <si>
    <t xml:space="preserve">Здоровье населения и среда обитания</t>
  </si>
  <si>
    <t xml:space="preserve">ФБУЗ ФЦГиЭ Роспотребнадзора</t>
  </si>
  <si>
    <t xml:space="preserve">Курск</t>
  </si>
  <si>
    <t xml:space="preserve">Здоровье человека, теория и методика физической культуры и спорта</t>
  </si>
  <si>
    <t xml:space="preserve">1272200PO</t>
  </si>
  <si>
    <t xml:space="preserve">ФГБОУ ВО "Алтайский государственный университет"</t>
  </si>
  <si>
    <t xml:space="preserve">Барнаул</t>
  </si>
  <si>
    <t xml:space="preserve">Физкультура и спорт</t>
  </si>
  <si>
    <t xml:space="preserve">Здравоохранение Российской Федерации</t>
  </si>
  <si>
    <t xml:space="preserve">762612PO</t>
  </si>
  <si>
    <t xml:space="preserve">Земельные отношения. Землеустройство</t>
  </si>
  <si>
    <t xml:space="preserve">Земельные отношения: регулирование. Практика. Региональные аспекты</t>
  </si>
  <si>
    <t xml:space="preserve">1227242PO</t>
  </si>
  <si>
    <t xml:space="preserve">Земледелие</t>
  </si>
  <si>
    <t xml:space="preserve">ООО «Редакция журнала «Земледелие»</t>
  </si>
  <si>
    <t xml:space="preserve">Обнинск</t>
  </si>
  <si>
    <t xml:space="preserve">Землеустройство, кадастр и монитринг земель</t>
  </si>
  <si>
    <t xml:space="preserve">Землеустройство. Геоинжиниринг. Кадастровый учет</t>
  </si>
  <si>
    <t xml:space="preserve">1227260PO</t>
  </si>
  <si>
    <t xml:space="preserve">Земля и Вселенная</t>
  </si>
  <si>
    <t xml:space="preserve">1183509PO</t>
  </si>
  <si>
    <t xml:space="preserve">Зеркало мира</t>
  </si>
  <si>
    <t xml:space="preserve">Знамя</t>
  </si>
  <si>
    <t xml:space="preserve">12839</t>
  </si>
  <si>
    <t xml:space="preserve">Респектабельный литературно-художественный журнал.</t>
  </si>
  <si>
    <t xml:space="preserve">Знание-сила</t>
  </si>
  <si>
    <t xml:space="preserve">1258666PO</t>
  </si>
  <si>
    <t xml:space="preserve">АНО «Редакция журнала «ЗНАНИЕ-СИЛА»</t>
  </si>
  <si>
    <t xml:space="preserve">Золотой червонец</t>
  </si>
  <si>
    <t xml:space="preserve">1303688PO</t>
  </si>
  <si>
    <t xml:space="preserve">Зообизнес в России</t>
  </si>
  <si>
    <t xml:space="preserve">1318532PO</t>
  </si>
  <si>
    <t xml:space="preserve">ООО "ИНФОРМАЦИОННО-ИЗДАТЕЛЬСКИЙ ЦЕНТР "Зооинформ"</t>
  </si>
  <si>
    <t xml:space="preserve">Зоологический журнал</t>
  </si>
  <si>
    <t xml:space="preserve">1183510PO</t>
  </si>
  <si>
    <t xml:space="preserve">Иберо-американские тетради</t>
  </si>
  <si>
    <t xml:space="preserve">Игра и дети</t>
  </si>
  <si>
    <t xml:space="preserve">908117PO</t>
  </si>
  <si>
    <t xml:space="preserve">Журнал для детей, их родителей и всех, кто по роду своей деятельности связан с образованием, обучением и воспитанием</t>
  </si>
  <si>
    <t xml:space="preserve">Известия</t>
  </si>
  <si>
    <t xml:space="preserve">12113</t>
  </si>
  <si>
    <t xml:space="preserve">Одна из старейших российских газет, издающаяся с марта 1917 г. </t>
  </si>
  <si>
    <t xml:space="preserve">Известия вузов. Ядерная энергетика</t>
  </si>
  <si>
    <t xml:space="preserve">Известия высших учебных заведений «Геодезия и аэрофотосъемка»</t>
  </si>
  <si>
    <t xml:space="preserve">Известия высших учебных заведений. Горный журнал</t>
  </si>
  <si>
    <t xml:space="preserve">986929PO</t>
  </si>
  <si>
    <t xml:space="preserve">Уральский государственный горный университет</t>
  </si>
  <si>
    <t xml:space="preserve">Известия высших учебных заведений. Лесной журнал</t>
  </si>
  <si>
    <t xml:space="preserve">1233674PO</t>
  </si>
  <si>
    <t xml:space="preserve">Архангельск</t>
  </si>
  <si>
    <t xml:space="preserve">Известия высших учебных заведений. Математика</t>
  </si>
  <si>
    <t xml:space="preserve">2004951P</t>
  </si>
  <si>
    <t xml:space="preserve">Результаты наиболее значительных исследований по теоретической и прикладной математике, осуществляемых учеными и сотрудниками российских высших учебных заведений, видными математиками СНГ и дальнего зарубежья.</t>
  </si>
  <si>
    <t xml:space="preserve">Известия высших учебных заведений. Материалы электронной техники</t>
  </si>
  <si>
    <t xml:space="preserve">Известия высших учебных заведений. Машиностроение</t>
  </si>
  <si>
    <t xml:space="preserve">986771PO</t>
  </si>
  <si>
    <t xml:space="preserve">Научно – технический журнал</t>
  </si>
  <si>
    <t xml:space="preserve">Известия высших учебных заведений. Пищевая технология</t>
  </si>
  <si>
    <t xml:space="preserve">1195391PO</t>
  </si>
  <si>
    <t xml:space="preserve">Краснодар</t>
  </si>
  <si>
    <t xml:space="preserve">Известия высших учебных заведений. Поволжский регион. Гуманитарные науки</t>
  </si>
  <si>
    <t xml:space="preserve">1244925PO</t>
  </si>
  <si>
    <t xml:space="preserve">Известия высших учебных заведений. Поволжский регион. Естественные науки</t>
  </si>
  <si>
    <t xml:space="preserve">1244928PO</t>
  </si>
  <si>
    <t xml:space="preserve">Известия высших учебных заведений. Поволжский регион. Медицинские науки</t>
  </si>
  <si>
    <t xml:space="preserve">1244922PO</t>
  </si>
  <si>
    <t xml:space="preserve">Известия высших учебных заведений. Поволжский регион. Общественные науки</t>
  </si>
  <si>
    <t xml:space="preserve">1244919PO</t>
  </si>
  <si>
    <t xml:space="preserve">Известия высших учебных заведений. Поволжский регион. Технические науки</t>
  </si>
  <si>
    <t xml:space="preserve">1244917PO</t>
  </si>
  <si>
    <t xml:space="preserve">Известия высших учебных заведений. Поволжский регион. Физико-математические науки</t>
  </si>
  <si>
    <t xml:space="preserve">1244916PO</t>
  </si>
  <si>
    <t xml:space="preserve">Известия высших учебных заведений. Поволжский регион. Экономические науки</t>
  </si>
  <si>
    <t xml:space="preserve">1244929PO</t>
  </si>
  <si>
    <t xml:space="preserve">Известия высших учебных заведений. Порошковая металлургия и функциональные покрытия</t>
  </si>
  <si>
    <t xml:space="preserve">1213853PO</t>
  </si>
  <si>
    <t xml:space="preserve">Известия высших учебных заведений. Приборостроение</t>
  </si>
  <si>
    <t xml:space="preserve">1195285PO</t>
  </si>
  <si>
    <t xml:space="preserve">Санкт-Петербургский национальный исследовательский университет информационных технологий, механики и оптики</t>
  </si>
  <si>
    <t xml:space="preserve">Известия высших учебных заведений. Прикладная нелинейная динамика</t>
  </si>
  <si>
    <t xml:space="preserve">1191207PO</t>
  </si>
  <si>
    <t xml:space="preserve">Известия высших учебных заведений. Проблемы полиграфии и издательского дела</t>
  </si>
  <si>
    <t xml:space="preserve">1326372PO</t>
  </si>
  <si>
    <t xml:space="preserve">Известия высших учебных заведений. Проблемы энергетики</t>
  </si>
  <si>
    <t xml:space="preserve">ФГБОУ ВО «Казанский государственный энергетический университет»</t>
  </si>
  <si>
    <t xml:space="preserve">Известия высших учебных заведений. Радиоэлектроника</t>
  </si>
  <si>
    <t xml:space="preserve">1240939PO</t>
  </si>
  <si>
    <t xml:space="preserve">Известия высших учебных заведений. Северо-Кавказский регион. Серия Естественные науки</t>
  </si>
  <si>
    <t xml:space="preserve">1329657PO</t>
  </si>
  <si>
    <t xml:space="preserve">ФГАОУ ВО Южный федеральный университет</t>
  </si>
  <si>
    <t xml:space="preserve">Известия высших учебных заведений. Северо-Кавказский регион. Серия Общественные науки</t>
  </si>
  <si>
    <t xml:space="preserve">1329656PO</t>
  </si>
  <si>
    <t xml:space="preserve">Известия высших учебных заведений. Северо-Кавказский регион. Серия Технические науки</t>
  </si>
  <si>
    <t xml:space="preserve">1329658PO</t>
  </si>
  <si>
    <t xml:space="preserve">Известия высших учебных заведений. Серия "Экономика, финансы и управление производством"</t>
  </si>
  <si>
    <t xml:space="preserve">ФГБОУ ВО "ИГХТУ"</t>
  </si>
  <si>
    <t xml:space="preserve">Иваново</t>
  </si>
  <si>
    <t xml:space="preserve">Известия высших учебных заведений. Строительство</t>
  </si>
  <si>
    <t xml:space="preserve">Известия высших учебных заведений. Технология текстильной промышленности</t>
  </si>
  <si>
    <t xml:space="preserve">1352128PO</t>
  </si>
  <si>
    <t xml:space="preserve">ФГБОУ ВО «ИВГПУ»</t>
  </si>
  <si>
    <t xml:space="preserve">Известия высших учебных заведений. Физика</t>
  </si>
  <si>
    <t xml:space="preserve">1136259PO</t>
  </si>
  <si>
    <t xml:space="preserve">Национальный исследовательский Томский государственный университет</t>
  </si>
  <si>
    <t xml:space="preserve">Известия высших учебных заведений. Химия и химическая технология</t>
  </si>
  <si>
    <t xml:space="preserve">1196612PO</t>
  </si>
  <si>
    <t xml:space="preserve">Известия высших учебных заведений. Цветная металлургия</t>
  </si>
  <si>
    <t xml:space="preserve">1213851PO</t>
  </si>
  <si>
    <t xml:space="preserve">Известия высших учебных заведений. Черная металлургия</t>
  </si>
  <si>
    <t xml:space="preserve">Известия высших учебных заведений. Электромеханика</t>
  </si>
  <si>
    <t xml:space="preserve">1236039PO</t>
  </si>
  <si>
    <t xml:space="preserve">ФГБОУ ВО "Южно-Российский государственный политехнический университет (НПИ) имени М.И. Платова"</t>
  </si>
  <si>
    <t xml:space="preserve">Новочеркасск</t>
  </si>
  <si>
    <t xml:space="preserve">Известия высших учебных заведений. Электроника</t>
  </si>
  <si>
    <t xml:space="preserve">1191219PO</t>
  </si>
  <si>
    <t xml:space="preserve">Известия Российской академии наук. Механика жидкости и газа</t>
  </si>
  <si>
    <t xml:space="preserve">1183511PO</t>
  </si>
  <si>
    <t xml:space="preserve">Известия Российской академии наук. Механика твердого тела</t>
  </si>
  <si>
    <t xml:space="preserve">1183512PO</t>
  </si>
  <si>
    <t xml:space="preserve">Известия Российской академии наук. Серия биологическая</t>
  </si>
  <si>
    <t xml:space="preserve">1183514PO</t>
  </si>
  <si>
    <t xml:space="preserve">Известия Российской академии наук. Серия географическая</t>
  </si>
  <si>
    <t xml:space="preserve">1183515PO</t>
  </si>
  <si>
    <t xml:space="preserve">Известия Российской академии наук. Серия литературы и языка</t>
  </si>
  <si>
    <t xml:space="preserve">13772</t>
  </si>
  <si>
    <t xml:space="preserve">Научный журнал, посвящен истории и развитию литературных жанров, современным литературным концепциям, истории и новостям филологической науки.</t>
  </si>
  <si>
    <t xml:space="preserve">Известия Российской академии наук. Серия математическая</t>
  </si>
  <si>
    <t xml:space="preserve">Известия Российской академии наук. Серия физическая</t>
  </si>
  <si>
    <t xml:space="preserve">1183516PO</t>
  </si>
  <si>
    <t xml:space="preserve">Известия Российской академии наук. Теория и системы управления</t>
  </si>
  <si>
    <t xml:space="preserve">1183519PO</t>
  </si>
  <si>
    <t xml:space="preserve">Известия Российской академии наук. Физика атмосферы и океана</t>
  </si>
  <si>
    <t xml:space="preserve">1183521PO</t>
  </si>
  <si>
    <t xml:space="preserve">Известия Российской академии наук. Энергетика</t>
  </si>
  <si>
    <t xml:space="preserve">1183523PO</t>
  </si>
  <si>
    <t xml:space="preserve">Известия Российской академии ракетных и артиллерийских наук</t>
  </si>
  <si>
    <t xml:space="preserve">1224282PO</t>
  </si>
  <si>
    <t xml:space="preserve">Известия Русского географического общества</t>
  </si>
  <si>
    <t xml:space="preserve">Известия Санкт-Петербургской лесотехнической академии</t>
  </si>
  <si>
    <t xml:space="preserve">ФГБОУ ВО "Санкт-Петербургский государственный лесотехнический университет им. С.М. Кирова"</t>
  </si>
  <si>
    <t xml:space="preserve">Известия Саратовского университета. Серия «Акмеология образования. Психология развития»</t>
  </si>
  <si>
    <t xml:space="preserve">1317250PO</t>
  </si>
  <si>
    <t xml:space="preserve">Известия Саратовского университета. Серия «История. Международные отношения»</t>
  </si>
  <si>
    <t xml:space="preserve">1317253PO</t>
  </si>
  <si>
    <t xml:space="preserve">Известия Саратовского университета. Серия «Математика. Механика. Информатика»</t>
  </si>
  <si>
    <t xml:space="preserve">Известия Саратовского университета. Серия «Науки о Земле»</t>
  </si>
  <si>
    <t xml:space="preserve">1317259PO</t>
  </si>
  <si>
    <t xml:space="preserve">Известия Саратовского университета. Серия «Социология. Политология»</t>
  </si>
  <si>
    <t xml:space="preserve">1317260PO</t>
  </si>
  <si>
    <t xml:space="preserve">Известия Саратовского университета. Серия «Физика»</t>
  </si>
  <si>
    <t xml:space="preserve">1317262PO</t>
  </si>
  <si>
    <t xml:space="preserve">Известия Саратовского университета. Серия «Филология. Журналистика»</t>
  </si>
  <si>
    <t xml:space="preserve">1317263PO</t>
  </si>
  <si>
    <t xml:space="preserve">Известия Саратовского университета. Серия «Философия. Психология. Педагогика»</t>
  </si>
  <si>
    <t xml:space="preserve">1317264PO</t>
  </si>
  <si>
    <t xml:space="preserve">Известия Саратовского университета. Серия «Химия. Биология. Экология»</t>
  </si>
  <si>
    <t xml:space="preserve">1317266PO</t>
  </si>
  <si>
    <t xml:space="preserve">Известия Саратовского университета. Серия «Экономика. Управление. Право»</t>
  </si>
  <si>
    <t xml:space="preserve">1317267PO</t>
  </si>
  <si>
    <t xml:space="preserve">Известия СПбГЭТУ «ЛЭТИ»</t>
  </si>
  <si>
    <t xml:space="preserve">ФГАО ВО "Санкт-Петербургский государственный электротехнический университет "ЛЭТИ" им. В.И.Ульянова ( Ленина)</t>
  </si>
  <si>
    <t xml:space="preserve">Известия ТИНРО</t>
  </si>
  <si>
    <t xml:space="preserve">986926PO</t>
  </si>
  <si>
    <t xml:space="preserve">Springer</t>
  </si>
  <si>
    <t xml:space="preserve">Известия Уральского государственного горного университета</t>
  </si>
  <si>
    <t xml:space="preserve">1138483PO</t>
  </si>
  <si>
    <t xml:space="preserve">Известия УРФУ. Сер.3. Общественные науки</t>
  </si>
  <si>
    <t xml:space="preserve">1334771PO</t>
  </si>
  <si>
    <t xml:space="preserve">Известия УРФУ.Сер.1. Проблемы образования, науки и культуры</t>
  </si>
  <si>
    <t xml:space="preserve">1138255PO</t>
  </si>
  <si>
    <t xml:space="preserve">Известия УРФУ.Сер.2. Гуманитарные науки</t>
  </si>
  <si>
    <t xml:space="preserve">1138256PO</t>
  </si>
  <si>
    <t xml:space="preserve">Измерение. Мониторинг. Управление. Контроль</t>
  </si>
  <si>
    <t xml:space="preserve">Измерительная техника</t>
  </si>
  <si>
    <t xml:space="preserve">ФГУП "ВНИИФТРИ"</t>
  </si>
  <si>
    <t xml:space="preserve">Изобретения стран мира. БОЕПРИПАСЫ, ВЗРЫВНЫЕ РАБОТЫ (вып.81)</t>
  </si>
  <si>
    <t xml:space="preserve">АО ИНИЦ «ПАТЕНТ»</t>
  </si>
  <si>
    <t xml:space="preserve">Изобретения стран мира. БУРЕНИЕ, ГОРНОЕ ДЕЛО (вып.63)</t>
  </si>
  <si>
    <t xml:space="preserve">Изобретения стран мира. ВОДОСНАБЖЕНИЕ, КАНАЛИЗАЦИЯ (вып.59)</t>
  </si>
  <si>
    <t xml:space="preserve">Изобретения стран мира. ВОЗДУХОПЛАВАНИЕ; АВИАЦИЯ; КОСМОНАВТИКА. (вып.33)</t>
  </si>
  <si>
    <t xml:space="preserve">Изобретения стран мира. ДОРОЖНОЕ СТРОИТЕЛЬСТВО, СТРОИТЕЛЬСТВО ЖЕЛЕЗНЫХ ДОРОГ И МОСТОВ (вып.57)</t>
  </si>
  <si>
    <t xml:space="preserve">Изобретения стран мира. ИЗМЕРЕНИЕ ЭЛЕКТРИЧЕСКИХ И МАГНИТНЫХ ВЕЛИЧИН; РАДИОЛОКАЦИЯ И РАДИОНАВИГАЦИЯ. (вып. 85)</t>
  </si>
  <si>
    <t xml:space="preserve">Изобретения стран мира. НЕОРГАНИЧЕСКАЯ ХИМИЯ; УДОБРЕНИЯ, ИХ ПРОИЗВОДСТВО; ВЗРЫВЧАТЫЕ ВЕЩЕСТВА, СПИЧКИ (вып.37)</t>
  </si>
  <si>
    <t xml:space="preserve">Изобретения стран мира. НЕФТЯНАЯ, ГАЗОВАЯ И КОКСОХИМИЧЕСКАЯ ПРОМЫШЛЕННОСТЬ; ТЕХНИЧЕСКИЕ ГАЗЫ, СОДЕРЖАЩИЕ ОКСИД УГЛЕРОДА; ТОПЛИВО; СМАЗОЧНЫЕ МАТЕРИАЛЫ; ТОРФ (вып.44)</t>
  </si>
  <si>
    <t xml:space="preserve">Изобретения стран мира. ОБРАБОТКА ВОДЫ, ПРОМЫШЛЕННЫХ И БЫТОВЫХ СТОЧНЫХ ВОД ИЛИ ОТСТОЯ СТОЧНЫХ ВОД. (вып.38)</t>
  </si>
  <si>
    <t xml:space="preserve">Изобретения стран мира. ОРУЖИЕ (вып.80)</t>
  </si>
  <si>
    <t xml:space="preserve">Изобретения стран мира. ПОКРЫТИЕ МЕТАЛЛИЧЕСКИХ МАТЕРИАЛОВ; ПОКРЫТИЕ ДРУГИХ МАТЕРИАЛОВ МЕТАЛЛИЧЕСКИМ МАТЕРИАЛОМ; ХИМИЧЕСКАЯ ОБРАБОТКА ПОВЕРХНОСТИ.  (вып.49)</t>
  </si>
  <si>
    <t xml:space="preserve">Изобретения стран мира. ПРОИЗВОДСТВО БУМАГИ; ПРОИЗВОДСТВО ЦЕЛЛЮЛОЗЫ (вып.56)</t>
  </si>
  <si>
    <t xml:space="preserve">Изобретения стран мира. РЕЛЬСОВЫЕ ТРАНСПОРТНЫЕ СРЕДСТВА (вып.30)</t>
  </si>
  <si>
    <t xml:space="preserve">Изобретения стран мира. СПАСАТЕЛЬНАЯ СЛУЖБА; ПРОТИВОПОЖАРНЫЕ СРЕДСТВА (вып.9)</t>
  </si>
  <si>
    <t xml:space="preserve">Изобретения стран мира. СУДА И ПРОЧИЕ ПЛАВУЧИЕ СРЕДСТВА; ОБОРУДОВАНИЕ ДЛЯ НИХ. (вып.32)</t>
  </si>
  <si>
    <t xml:space="preserve">Изобретения стран мира. ЯДЕРНАЯ ФИЗИКА, ЯДЕРНАЯ ТЕХНИКА. (вып. 99)</t>
  </si>
  <si>
    <t xml:space="preserve">Имагология и компаративистика</t>
  </si>
  <si>
    <t xml:space="preserve">Иммунология</t>
  </si>
  <si>
    <t xml:space="preserve">972517PO</t>
  </si>
  <si>
    <t xml:space="preserve">Имущественные отношения в РФ</t>
  </si>
  <si>
    <t xml:space="preserve">1193275PO</t>
  </si>
  <si>
    <t xml:space="preserve">НЧОУ ВО "МИЭПП"</t>
  </si>
  <si>
    <t xml:space="preserve">Инженер-нефтяник</t>
  </si>
  <si>
    <t xml:space="preserve">УХТИНСКИЙ ГОСУДАРСТВЕННЫЙ ТЕХНИЧЕСКИЙ УНИВЕРСИТЕТ</t>
  </si>
  <si>
    <t xml:space="preserve">Ухта</t>
  </si>
  <si>
    <t xml:space="preserve">Инженерно-физический журнал</t>
  </si>
  <si>
    <t xml:space="preserve">2004952P</t>
  </si>
  <si>
    <t xml:space="preserve">Институт тепло- и массообмена им. А. В. Лыкова Национальной академии наук Беларуси</t>
  </si>
  <si>
    <t xml:space="preserve">Инженерные системы зданий</t>
  </si>
  <si>
    <t xml:space="preserve">1228142PO</t>
  </si>
  <si>
    <t xml:space="preserve">Инженерные технологии и системы</t>
  </si>
  <si>
    <t xml:space="preserve">Инженерный журнал:наука и инновации</t>
  </si>
  <si>
    <t xml:space="preserve">986924PO</t>
  </si>
  <si>
    <t xml:space="preserve">Научно-техническое издание</t>
  </si>
  <si>
    <t xml:space="preserve">Инжиниринг и технологии</t>
  </si>
  <si>
    <t xml:space="preserve">1244930PO</t>
  </si>
  <si>
    <t xml:space="preserve">Инновации</t>
  </si>
  <si>
    <t xml:space="preserve">1325337PO</t>
  </si>
  <si>
    <t xml:space="preserve">ООО "Трансфер-Инновации"</t>
  </si>
  <si>
    <t xml:space="preserve">Инновации в образовании</t>
  </si>
  <si>
    <t xml:space="preserve">1351414PO</t>
  </si>
  <si>
    <t xml:space="preserve">Частное учреждение «Издательство АЭО»</t>
  </si>
  <si>
    <t xml:space="preserve">Инновации в строительстве</t>
  </si>
  <si>
    <t xml:space="preserve">Инновации и инвестиции</t>
  </si>
  <si>
    <t xml:space="preserve">Инновации: управление, инвестиции, технологии</t>
  </si>
  <si>
    <t xml:space="preserve">1228145PO</t>
  </si>
  <si>
    <t xml:space="preserve">Технологии</t>
  </si>
  <si>
    <t xml:space="preserve">Инновационная наука: Психология. Педагогика. Дефектология</t>
  </si>
  <si>
    <t xml:space="preserve">Иностранная литература</t>
  </si>
  <si>
    <t xml:space="preserve">1361305PO</t>
  </si>
  <si>
    <t xml:space="preserve">АНО  Редакция  журнала  «Иностранная  литература»</t>
  </si>
  <si>
    <t xml:space="preserve">Иностранные языки в высшей школе</t>
  </si>
  <si>
    <t xml:space="preserve">1352999PO</t>
  </si>
  <si>
    <t xml:space="preserve">РГУ им. С.А. Есенина</t>
  </si>
  <si>
    <t xml:space="preserve">Иностранные языки в школе</t>
  </si>
  <si>
    <t xml:space="preserve">1306395PO</t>
  </si>
  <si>
    <t xml:space="preserve">ЗАО "Релод"</t>
  </si>
  <si>
    <t xml:space="preserve">Инструктор по физкультуре</t>
  </si>
  <si>
    <t xml:space="preserve">1325203PO</t>
  </si>
  <si>
    <t xml:space="preserve">Интеграция образования / Integration of Education</t>
  </si>
  <si>
    <t xml:space="preserve">1235946PO</t>
  </si>
  <si>
    <t xml:space="preserve">Интеллектуальная собственность. Авторское право и смежные права</t>
  </si>
  <si>
    <t xml:space="preserve">1249728PO</t>
  </si>
  <si>
    <t xml:space="preserve">ООО "Издательский дом "ИНТЕЛЛЕКТУАЛЬНАЯ СОБСТВЕННОСТЬ"</t>
  </si>
  <si>
    <t xml:space="preserve">Интеллектуальная собственность. Промышленная собственность</t>
  </si>
  <si>
    <t xml:space="preserve">1249730PO</t>
  </si>
  <si>
    <t xml:space="preserve">Интеллектуальная энергетика. Smart Grid</t>
  </si>
  <si>
    <t xml:space="preserve">1350771PO</t>
  </si>
  <si>
    <t xml:space="preserve">Интеллектуальные права: Авторское право. Патентное право. Товарные знаки</t>
  </si>
  <si>
    <t xml:space="preserve">1262208PO</t>
  </si>
  <si>
    <t xml:space="preserve">Интеллектуальные права: регулирование и практика</t>
  </si>
  <si>
    <t xml:space="preserve">Инфекционные болезни</t>
  </si>
  <si>
    <t xml:space="preserve">51534</t>
  </si>
  <si>
    <t xml:space="preserve">Проблемы этиологии, патогенеза, проявлений клинических инфекционных заболеваний; новые методы диагностики, лечения и профилактики.</t>
  </si>
  <si>
    <t xml:space="preserve">Инфекционные болезни: новости,мнения, обучение</t>
  </si>
  <si>
    <t xml:space="preserve">1270435PO</t>
  </si>
  <si>
    <t xml:space="preserve">Инфекция и иммунитет</t>
  </si>
  <si>
    <t xml:space="preserve">1012613PO</t>
  </si>
  <si>
    <t xml:space="preserve">Санкт-Петербурское региональное отделение Российской ассоциации аллергологов и клинических иммунологов</t>
  </si>
  <si>
    <t xml:space="preserve">Информатика в школе</t>
  </si>
  <si>
    <t xml:space="preserve">908195PO</t>
  </si>
  <si>
    <t xml:space="preserve">ООО "Образование и информатика"</t>
  </si>
  <si>
    <t xml:space="preserve">Журнал «Информатика в школе» – это профессиональное  издание для учителя информатики. В содержании журнала представлены несколько рубрик, отражающих наиболее актуальные на сегодняшний день вопросы методики преподавания информатики и информатизации образования. В журнале первостепенное внимание уделяется вопросам профессионального роста учителя, его самообразования, а также новым результативным подходам в обучении.</t>
  </si>
  <si>
    <t xml:space="preserve">Информатика и образование</t>
  </si>
  <si>
    <t xml:space="preserve">908193PO</t>
  </si>
  <si>
    <t xml:space="preserve">Журнал освещает многие направления использования информационных и коммуникационных технологий в сфере образования. Рассчитан прежде всего на учителей информатики, заместителей директоров школ по информатизации, методистов и других работников сферы образования, связанных с его информатизацией.</t>
  </si>
  <si>
    <t xml:space="preserve">Информационная безопасность / Information Security</t>
  </si>
  <si>
    <t xml:space="preserve">1244648PO</t>
  </si>
  <si>
    <t xml:space="preserve">Информационно-измерительные и управляющие системы</t>
  </si>
  <si>
    <t xml:space="preserve">1308065PO</t>
  </si>
  <si>
    <t xml:space="preserve">Информационно-управляющие системы</t>
  </si>
  <si>
    <t xml:space="preserve">1012639PO</t>
  </si>
  <si>
    <t xml:space="preserve">Санкт-Петербургский государственный университет аэрокосмического приборостроения</t>
  </si>
  <si>
    <t xml:space="preserve">Информационные системы и технологии</t>
  </si>
  <si>
    <t xml:space="preserve">ФГБОУ ВО «ОГУ имени И.С. Тургенева»</t>
  </si>
  <si>
    <t xml:space="preserve">Орел</t>
  </si>
  <si>
    <t xml:space="preserve">1280256PO</t>
  </si>
  <si>
    <t xml:space="preserve">Информационные технологии в госсекторе</t>
  </si>
  <si>
    <t xml:space="preserve">1231029PO</t>
  </si>
  <si>
    <t xml:space="preserve">Информационные технологии в проектировании и производстве </t>
  </si>
  <si>
    <t xml:space="preserve">1263985PO</t>
  </si>
  <si>
    <t xml:space="preserve">ФГУП НТЦ оборонного комплекса "Компас"</t>
  </si>
  <si>
    <t xml:space="preserve">Информационные технологии и вычислительные системы</t>
  </si>
  <si>
    <t xml:space="preserve">ФГУ «Федеральный исследовательский центр «Информатика и управление» Российской академии наук» (ФИЦ ИУ РАН)</t>
  </si>
  <si>
    <t xml:space="preserve">Искусственный интеллект и принятие решений</t>
  </si>
  <si>
    <t xml:space="preserve">Искусственный интеллект: разработки и внедрение</t>
  </si>
  <si>
    <t xml:space="preserve">Искусство в школе</t>
  </si>
  <si>
    <t xml:space="preserve">1304571PO</t>
  </si>
  <si>
    <t xml:space="preserve">ООО "Искусство в школе"</t>
  </si>
  <si>
    <t xml:space="preserve">Искусство и образование</t>
  </si>
  <si>
    <t xml:space="preserve">1325327PO</t>
  </si>
  <si>
    <t xml:space="preserve">ООО "Международный центр "Искусство и образование"</t>
  </si>
  <si>
    <t xml:space="preserve">Искусство кино</t>
  </si>
  <si>
    <t xml:space="preserve">14669</t>
  </si>
  <si>
    <t xml:space="preserve">Ведущий российский журнал кинематографической критики. Публикует обзоры современного российского и иностранного кино, статьи по истории и теории российского и мирового кино, а также эссе по общим проблемам российской культуры и искусства.</t>
  </si>
  <si>
    <t xml:space="preserve">Исследования Земли из Космоса</t>
  </si>
  <si>
    <t xml:space="preserve">1183526PO</t>
  </si>
  <si>
    <t xml:space="preserve">Исследования и практика в медицине</t>
  </si>
  <si>
    <t xml:space="preserve">ООО "Квазар"</t>
  </si>
  <si>
    <t xml:space="preserve">  Русский, Английский</t>
  </si>
  <si>
    <t xml:space="preserve">Исследовательская работа школьников</t>
  </si>
  <si>
    <t xml:space="preserve">908051PO</t>
  </si>
  <si>
    <t xml:space="preserve">Журнал адресован всем, кто задумывается о роли науки и образования в современном мире, занимается развитием исследовательской деятельности учащихся в различных предметных областях и интересуется новыми формами организации образовательной деятельности.</t>
  </si>
  <si>
    <t xml:space="preserve">Историко-философский ежегодник</t>
  </si>
  <si>
    <t xml:space="preserve">53254</t>
  </si>
  <si>
    <t xml:space="preserve">Собрание трудов по истории мировой философии, подготовленное ведущим философским институтом Российской академии наук. Включены исследования, переводы памятников философской мысли на русский язык, воспоминания о российских ученых и публикации из их архивов.</t>
  </si>
  <si>
    <t xml:space="preserve">Историческая психология и социология истории</t>
  </si>
  <si>
    <t xml:space="preserve">1278263PO</t>
  </si>
  <si>
    <t xml:space="preserve">История (Библиографические указатели)</t>
  </si>
  <si>
    <t xml:space="preserve">История (Реферативный журнал)</t>
  </si>
  <si>
    <t xml:space="preserve">1305008PO</t>
  </si>
  <si>
    <t xml:space="preserve">История и историки</t>
  </si>
  <si>
    <t xml:space="preserve">53253</t>
  </si>
  <si>
    <t xml:space="preserve">Уникальное издание, посвященное исторической науке в России. Публикаются очерки научной деятельности российских ученых разного времени, воспоминания о них, архивные документы, переписка.</t>
  </si>
  <si>
    <t xml:space="preserve">История и современное мировоззрение</t>
  </si>
  <si>
    <t xml:space="preserve">1361205PO</t>
  </si>
  <si>
    <t xml:space="preserve">История и современность</t>
  </si>
  <si>
    <t xml:space="preserve">1278253PO</t>
  </si>
  <si>
    <t xml:space="preserve">История философии </t>
  </si>
  <si>
    <t xml:space="preserve">Ишрак: Журнал исламской философии</t>
  </si>
  <si>
    <t xml:space="preserve">Кадастр недвижимости</t>
  </si>
  <si>
    <t xml:space="preserve">ООО "Кадастр недвижимости"</t>
  </si>
  <si>
    <t xml:space="preserve">Кадровик</t>
  </si>
  <si>
    <t xml:space="preserve">Кадровик бюджетной организации</t>
  </si>
  <si>
    <t xml:space="preserve">Кадровые решения</t>
  </si>
  <si>
    <t xml:space="preserve">1284590PO</t>
  </si>
  <si>
    <t xml:space="preserve">ООО "Профессиональное издательство"</t>
  </si>
  <si>
    <t xml:space="preserve">Кадры инновационного развития</t>
  </si>
  <si>
    <t xml:space="preserve">Кардиоваскулярная терапия и профилактика</t>
  </si>
  <si>
    <t xml:space="preserve">1278286PO</t>
  </si>
  <si>
    <t xml:space="preserve">Кардиологический вестник</t>
  </si>
  <si>
    <t xml:space="preserve">1284300PO</t>
  </si>
  <si>
    <t xml:space="preserve">Кардиология</t>
  </si>
  <si>
    <t xml:space="preserve">1218640PO</t>
  </si>
  <si>
    <t xml:space="preserve">Региональная общественная организация популяризации научно-медицинской литературы (РОО) «Кардиомаг» </t>
  </si>
  <si>
    <t xml:space="preserve">Кардиология в Беларуси</t>
  </si>
  <si>
    <t xml:space="preserve">988830PO</t>
  </si>
  <si>
    <t xml:space="preserve">Кардиология и сердечно-сосудистая хирургия</t>
  </si>
  <si>
    <t xml:space="preserve">1295894PO</t>
  </si>
  <si>
    <t xml:space="preserve">Кардиология: новости, мнения, обучение</t>
  </si>
  <si>
    <t xml:space="preserve">1270432PO</t>
  </si>
  <si>
    <t xml:space="preserve">Каспиец</t>
  </si>
  <si>
    <t xml:space="preserve">Астрахань</t>
  </si>
  <si>
    <t xml:space="preserve">Старейшее российское издание, посвященное широкому кругу проблем Каспийского флота.</t>
  </si>
  <si>
    <t xml:space="preserve">Катализ в промышленности</t>
  </si>
  <si>
    <t xml:space="preserve">1213848PO</t>
  </si>
  <si>
    <t xml:space="preserve">ООО "Калвис"</t>
  </si>
  <si>
    <t xml:space="preserve">Каучук и резина</t>
  </si>
  <si>
    <t xml:space="preserve">1228553PO</t>
  </si>
  <si>
    <t xml:space="preserve">Качественная клиническая практика </t>
  </si>
  <si>
    <t xml:space="preserve">Качество. Инновации. Образование</t>
  </si>
  <si>
    <t xml:space="preserve">Фонд "Европейский фонд по качеству"</t>
  </si>
  <si>
    <t xml:space="preserve">Кинетика и катализ</t>
  </si>
  <si>
    <t xml:space="preserve">1183531PO</t>
  </si>
  <si>
    <t xml:space="preserve">КИП и автоматика: обслуживание и ремонт</t>
  </si>
  <si>
    <t xml:space="preserve">Кифа</t>
  </si>
  <si>
    <t xml:space="preserve">Индивидуальный предприниматель Васенёв Андрей Александрович</t>
  </si>
  <si>
    <t xml:space="preserve">Тверь</t>
  </si>
  <si>
    <t xml:space="preserve">Классный журнал</t>
  </si>
  <si>
    <t xml:space="preserve">986917PO</t>
  </si>
  <si>
    <t xml:space="preserve">Классный руководитель</t>
  </si>
  <si>
    <t xml:space="preserve">1279872PO</t>
  </si>
  <si>
    <t xml:space="preserve">Издательский Дом «Педагогический поиск»</t>
  </si>
  <si>
    <t xml:space="preserve">Клеи. Герметики. Технологии</t>
  </si>
  <si>
    <t xml:space="preserve">1193702PO</t>
  </si>
  <si>
    <t xml:space="preserve">Клеточные технологии в биологии и медицине</t>
  </si>
  <si>
    <t xml:space="preserve">Клиницист</t>
  </si>
  <si>
    <t xml:space="preserve">Клиническая дерматология и венерология</t>
  </si>
  <si>
    <t xml:space="preserve">1290640PO</t>
  </si>
  <si>
    <t xml:space="preserve">Клиническая и специальная психология</t>
  </si>
  <si>
    <t xml:space="preserve">1136567PO</t>
  </si>
  <si>
    <t xml:space="preserve">Московский государственный психолого-педагогический университет</t>
  </si>
  <si>
    <t xml:space="preserve">Клиническая и экспериментальная тиреоидология</t>
  </si>
  <si>
    <t xml:space="preserve">1302686PO</t>
  </si>
  <si>
    <t xml:space="preserve">Клиническая и экспериментальная хирургия. Журнал им. Акад. Б.В. Петровского</t>
  </si>
  <si>
    <t xml:space="preserve">1270448PO</t>
  </si>
  <si>
    <t xml:space="preserve">Клиническая инфектология и паразитология</t>
  </si>
  <si>
    <t xml:space="preserve">988829PO</t>
  </si>
  <si>
    <t xml:space="preserve">Клиническая лабораторная диагностика</t>
  </si>
  <si>
    <t xml:space="preserve">972518PO</t>
  </si>
  <si>
    <t xml:space="preserve">ЗАО "ЭКОлаб"</t>
  </si>
  <si>
    <t xml:space="preserve">Клиническая медицина</t>
  </si>
  <si>
    <t xml:space="preserve">972519PO</t>
  </si>
  <si>
    <t xml:space="preserve">ООО "Медицинское информационное агентство"</t>
  </si>
  <si>
    <t xml:space="preserve">Клиническая неврология</t>
  </si>
  <si>
    <t xml:space="preserve">1305122PO</t>
  </si>
  <si>
    <t xml:space="preserve">Клиническая нефрология</t>
  </si>
  <si>
    <t xml:space="preserve">1244646PO</t>
  </si>
  <si>
    <t xml:space="preserve">Клиническая практика</t>
  </si>
  <si>
    <t xml:space="preserve">1307210PO</t>
  </si>
  <si>
    <t xml:space="preserve">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</t>
  </si>
  <si>
    <t xml:space="preserve">Клиническая стоматология</t>
  </si>
  <si>
    <t xml:space="preserve">ООО «Клиническая стоматология»</t>
  </si>
  <si>
    <t xml:space="preserve">Клиническая физиология кровообращения</t>
  </si>
  <si>
    <t xml:space="preserve">1195427PO</t>
  </si>
  <si>
    <t xml:space="preserve">Книга в пространстве культуры</t>
  </si>
  <si>
    <t xml:space="preserve">946310PO</t>
  </si>
  <si>
    <t xml:space="preserve">Кокс и химия</t>
  </si>
  <si>
    <t xml:space="preserve">1244226PO</t>
  </si>
  <si>
    <t xml:space="preserve">  ООО "Металлургиздат"</t>
  </si>
  <si>
    <t xml:space="preserve">Коллоидный журнал</t>
  </si>
  <si>
    <t xml:space="preserve">1183532PO</t>
  </si>
  <si>
    <t xml:space="preserve">Коммерсант, понедельник-пятница</t>
  </si>
  <si>
    <t xml:space="preserve">АО «Коммерсантъ»</t>
  </si>
  <si>
    <t xml:space="preserve">Ежедневная политическая и деловая газета.</t>
  </si>
  <si>
    <t xml:space="preserve">Коммерсант, суббота</t>
  </si>
  <si>
    <t xml:space="preserve">1262891PO</t>
  </si>
  <si>
    <t xml:space="preserve">Коммерческие споры</t>
  </si>
  <si>
    <t xml:space="preserve">Ведущее издание в сфере человеческих ресурсов в бизнесе</t>
  </si>
  <si>
    <t xml:space="preserve">Коммуникология</t>
  </si>
  <si>
    <t xml:space="preserve">988614PO</t>
  </si>
  <si>
    <t xml:space="preserve">Компетентность</t>
  </si>
  <si>
    <t xml:space="preserve">1188815PO</t>
  </si>
  <si>
    <t xml:space="preserve">Комплект для воспитателей ДОУ: - Воспитатель ДОУ; - Библиотека журнала "Воспитатель ДОУ" (ВЫХОДИТ В СОСТАВЕ КОМПЛЕКТА)</t>
  </si>
  <si>
    <t xml:space="preserve">Комплект для воспитателя «Методический: - Воспитатель ДОУ; Методист ДОУ (ВЫХОДИТ В СОСТАВЕ КОМПЛЕКТА 2 выхода)</t>
  </si>
  <si>
    <t xml:space="preserve">Комплект для руководителей ДОУ (малый): - Управление ДОУ; - Приложение к журналу "Управление ДОУ" (ВЫХОДИТ В СОСТАВЕ КОМПЛЕКТА);- Методист ДОУ (ВЫХОДИТ В СОСТАВЕ КОМПЛЕКТА)</t>
  </si>
  <si>
    <t xml:space="preserve">Комплект для руководителей ДОУ (полный):- Управление ДОУ; - Приложение к журналу "Управление ДОУ" (ВЫХОДИТ В СОСТАВЕ КОМПЛЕКТА);- Методист ДОУ (ВЫХОДИТ В СОСТАВЕ КОМПЛЕКТА);- - Инструктор по физкультуре</t>
  </si>
  <si>
    <t xml:space="preserve">Комплект Журнал неврологии и психиатрии им. С.С. Корсакова+тематические спецвыпуски</t>
  </si>
  <si>
    <t xml:space="preserve">1304269PO</t>
  </si>
  <si>
    <t xml:space="preserve">Композиты и наноструктуры</t>
  </si>
  <si>
    <t xml:space="preserve">АО "Композитбук"</t>
  </si>
  <si>
    <t xml:space="preserve">Компьютерная оптика</t>
  </si>
  <si>
    <t xml:space="preserve">1235882PO</t>
  </si>
  <si>
    <t xml:space="preserve">Самарский государственный аэрокосмический университет имени академика С. П. Королёва</t>
  </si>
  <si>
    <t xml:space="preserve">Самара</t>
  </si>
  <si>
    <t xml:space="preserve">Комсомольская правда</t>
  </si>
  <si>
    <t xml:space="preserve">12123</t>
  </si>
  <si>
    <t xml:space="preserve">Одна из самых тиражных газет в стране.</t>
  </si>
  <si>
    <t xml:space="preserve">Коневодство и конный спорт</t>
  </si>
  <si>
    <t xml:space="preserve">ФГБНУ "ВНИИ коневодства"</t>
  </si>
  <si>
    <t xml:space="preserve">Рязань</t>
  </si>
  <si>
    <t xml:space="preserve">Конструкторское бюро</t>
  </si>
  <si>
    <t xml:space="preserve">Конструкции из композиционных материалов</t>
  </si>
  <si>
    <t xml:space="preserve">1263983PO</t>
  </si>
  <si>
    <t xml:space="preserve">Консультативная психология и психотерапия</t>
  </si>
  <si>
    <t xml:space="preserve">1136564PO</t>
  </si>
  <si>
    <t xml:space="preserve">Контроль качества продукции</t>
  </si>
  <si>
    <t xml:space="preserve">1212134PO</t>
  </si>
  <si>
    <t xml:space="preserve">Контроль. Диагностика</t>
  </si>
  <si>
    <t xml:space="preserve">Контуры глобальных трансформаций: политика, экономика, право</t>
  </si>
  <si>
    <t xml:space="preserve">Конфликтология</t>
  </si>
  <si>
    <t xml:space="preserve">Концепт: философия, религиоведение, культура</t>
  </si>
  <si>
    <t xml:space="preserve">Координационная химия</t>
  </si>
  <si>
    <t xml:space="preserve">1183533PO</t>
  </si>
  <si>
    <t xml:space="preserve">Кормление сельскохозяйственных животных и кормпроизводство</t>
  </si>
  <si>
    <t xml:space="preserve">Коррозия «Территории «НЕФТЕГАЗ»</t>
  </si>
  <si>
    <t xml:space="preserve">Космические исследования</t>
  </si>
  <si>
    <t xml:space="preserve">1183534PO</t>
  </si>
  <si>
    <t xml:space="preserve">Красная звезда</t>
  </si>
  <si>
    <t xml:space="preserve">47016</t>
  </si>
  <si>
    <t xml:space="preserve">Официальный орган Министерства обороны СССР, а затем - России.  Публикует самую полную информацию о Вооруженных Силах России, ходе военной реформы, боевой учебе и жизни войск, включая юридические консультации, анализ проблем безопасности России и СНГ, информацию о тендерах на поставки продовольствия, горюче-смазочных материалов и топлива, лекарств для российской армии; новинки и реклама боевой техники и вооружения; репортажи из зон военных конфликтов всего мира; материалы о зарубежных армиях; новости политики и экономики, культуры и ежедневную информацию из сфер искусства, бизнеса и спорта.</t>
  </si>
  <si>
    <t xml:space="preserve">Креативная кардиология</t>
  </si>
  <si>
    <t xml:space="preserve">1195428PO</t>
  </si>
  <si>
    <t xml:space="preserve">Креативная хирургия и онкология</t>
  </si>
  <si>
    <t xml:space="preserve">Башкирский государственный медицинский университет</t>
  </si>
  <si>
    <t xml:space="preserve">Уфа</t>
  </si>
  <si>
    <t xml:space="preserve">Креативная экономика</t>
  </si>
  <si>
    <t xml:space="preserve">996797PO</t>
  </si>
  <si>
    <t xml:space="preserve">Крестьяноведение</t>
  </si>
  <si>
    <t xml:space="preserve">1267054PO</t>
  </si>
  <si>
    <t xml:space="preserve">Криминологический журнал</t>
  </si>
  <si>
    <t xml:space="preserve">Криосфера Земли</t>
  </si>
  <si>
    <t xml:space="preserve">816206PO</t>
  </si>
  <si>
    <t xml:space="preserve">Кристаллография</t>
  </si>
  <si>
    <t xml:space="preserve">1183535PO</t>
  </si>
  <si>
    <t xml:space="preserve">Критическая информационная инфраструктура (КИИ)</t>
  </si>
  <si>
    <t xml:space="preserve">Кролиководство и звероводство</t>
  </si>
  <si>
    <t xml:space="preserve">ФГБНУ НИИП ЗК</t>
  </si>
  <si>
    <t xml:space="preserve">Родники</t>
  </si>
  <si>
    <t xml:space="preserve">Крылья Родины</t>
  </si>
  <si>
    <t xml:space="preserve">13601</t>
  </si>
  <si>
    <t xml:space="preserve">ООО «Редакция журнала «Крылья Родины-1»</t>
  </si>
  <si>
    <t xml:space="preserve">Ежемесячный научно-популярный журнал. Основан в октябре 1950 года. До 1991-го года - массовый авиационный журнал ДОСААФ СССР, с 1992-го - научно-популярный авиационный и космический журнал. Печатает материалы по истории авиации, самолетостроению, космонавтике.</t>
  </si>
  <si>
    <t xml:space="preserve">Кузнечно-штамповочное производство. Обработка материалов давлением</t>
  </si>
  <si>
    <t xml:space="preserve">ООО "КШП ОМД"</t>
  </si>
  <si>
    <t xml:space="preserve">Культура</t>
  </si>
  <si>
    <t xml:space="preserve">14972</t>
  </si>
  <si>
    <t xml:space="preserve">ОАО "Редакция газеты "Культура""</t>
  </si>
  <si>
    <t xml:space="preserve">Культура и образование: научно-информационный журнал вузов культуры и искусств</t>
  </si>
  <si>
    <t xml:space="preserve">Культурно-историческая психология</t>
  </si>
  <si>
    <t xml:space="preserve">910762PO</t>
  </si>
  <si>
    <t xml:space="preserve">Культурология (Библиографические указатели)</t>
  </si>
  <si>
    <t xml:space="preserve">Лабораторная диагностика Восточная Европа</t>
  </si>
  <si>
    <t xml:space="preserve">987350PO</t>
  </si>
  <si>
    <t xml:space="preserve">Лабораторная и клиническая медицина. Фармация</t>
  </si>
  <si>
    <t xml:space="preserve">ООО Компания Лайф энд Кволити </t>
  </si>
  <si>
    <t xml:space="preserve">Лабораторная медицина</t>
  </si>
  <si>
    <t xml:space="preserve">МО АМЛД</t>
  </si>
  <si>
    <t xml:space="preserve">Лабораторная служба</t>
  </si>
  <si>
    <t xml:space="preserve">1290634PO</t>
  </si>
  <si>
    <t xml:space="preserve">Лазерная медицина</t>
  </si>
  <si>
    <t xml:space="preserve">987360PO</t>
  </si>
  <si>
    <t xml:space="preserve">ФГБУ "Государственный научный центр лазерной медицины Федерального медико-биологического агентства"</t>
  </si>
  <si>
    <t xml:space="preserve">Лакокрасочные материалы и их применение</t>
  </si>
  <si>
    <t xml:space="preserve">ООО "Пэйнт-Медиа"</t>
  </si>
  <si>
    <t xml:space="preserve">Ландшафтная архитектура. Благоустройство и озеленение города</t>
  </si>
  <si>
    <t xml:space="preserve">1226660PO</t>
  </si>
  <si>
    <t xml:space="preserve">Латинская Америка</t>
  </si>
  <si>
    <t xml:space="preserve">13773</t>
  </si>
  <si>
    <t xml:space="preserve">Научный журнал по всем аспектам жизни стран Латинской Америки - политике, экономике, истории, культуре, религии, отношениям с Россией.</t>
  </si>
  <si>
    <t xml:space="preserve">Левша</t>
  </si>
  <si>
    <t xml:space="preserve">980763PO</t>
  </si>
  <si>
    <t xml:space="preserve">Лед и снег</t>
  </si>
  <si>
    <t xml:space="preserve">1183536PO</t>
  </si>
  <si>
    <t xml:space="preserve">Лесной вестник</t>
  </si>
  <si>
    <t xml:space="preserve">1264927PO</t>
  </si>
  <si>
    <t xml:space="preserve">Научно-информационный журнал в области лесного хозяйства, экологии, лесозаготовки, деревообработки, химической технологии и обработки древесины, экономики лесного комплекса</t>
  </si>
  <si>
    <t xml:space="preserve">Лесоведение</t>
  </si>
  <si>
    <t xml:space="preserve">1183547PO</t>
  </si>
  <si>
    <t xml:space="preserve">Лечащий врач</t>
  </si>
  <si>
    <t xml:space="preserve">987567PO</t>
  </si>
  <si>
    <t xml:space="preserve">Лечебное дело</t>
  </si>
  <si>
    <t xml:space="preserve">980559PO</t>
  </si>
  <si>
    <t xml:space="preserve">Лидерство и менеджмент</t>
  </si>
  <si>
    <t xml:space="preserve">1222276PO</t>
  </si>
  <si>
    <t xml:space="preserve">Лизинг</t>
  </si>
  <si>
    <t xml:space="preserve">Лин-технологии: бережливое производство</t>
  </si>
  <si>
    <t xml:space="preserve">Литейное производство</t>
  </si>
  <si>
    <t xml:space="preserve">985463PO</t>
  </si>
  <si>
    <t xml:space="preserve">ООО «Литейное производство»</t>
  </si>
  <si>
    <t xml:space="preserve">Литература в школе</t>
  </si>
  <si>
    <t xml:space="preserve">977721PO</t>
  </si>
  <si>
    <t xml:space="preserve">UDB-STUDY</t>
  </si>
  <si>
    <t xml:space="preserve">10.01.00 – литературоведение;
10.02.00 – языкознание;
13.00.00 – педагогические науки;</t>
  </si>
  <si>
    <t xml:space="preserve">Литература двух Америк</t>
  </si>
  <si>
    <t xml:space="preserve">Литературная газета</t>
  </si>
  <si>
    <t xml:space="preserve">12442</t>
  </si>
  <si>
    <t xml:space="preserve">АНО «Редакция «Литературной газеты»</t>
  </si>
  <si>
    <t xml:space="preserve">17.09,2025</t>
  </si>
  <si>
    <t xml:space="preserve">Сегодня наряду с литературной критикой уделяет большое внимание социальным проблемам российского общества, вопросам морали, культурного и духовного наследия страны.</t>
  </si>
  <si>
    <t xml:space="preserve">Литературная Россия</t>
  </si>
  <si>
    <t xml:space="preserve">980764PO</t>
  </si>
  <si>
    <t xml:space="preserve">Издательство "Литературная Россия"</t>
  </si>
  <si>
    <t xml:space="preserve">Литературоведение (Библиографические указатели)</t>
  </si>
  <si>
    <t xml:space="preserve">1304583PO</t>
  </si>
  <si>
    <t xml:space="preserve">Литературоведение (Реферативный журнал)</t>
  </si>
  <si>
    <t xml:space="preserve">1305006PO</t>
  </si>
  <si>
    <t xml:space="preserve">Литературоведческий журнал</t>
  </si>
  <si>
    <t xml:space="preserve">1305047PO</t>
  </si>
  <si>
    <t xml:space="preserve">Литология и полезные ископаемые</t>
  </si>
  <si>
    <t xml:space="preserve">1183549PO</t>
  </si>
  <si>
    <t xml:space="preserve">Литье и металлургия</t>
  </si>
  <si>
    <t xml:space="preserve">Белорусский национальный технический университет</t>
  </si>
  <si>
    <t xml:space="preserve">Лобирование в законодательстве</t>
  </si>
  <si>
    <t xml:space="preserve">Логистика</t>
  </si>
  <si>
    <t xml:space="preserve">1348554PO</t>
  </si>
  <si>
    <t xml:space="preserve">ООО «Агентство Маркет Гайд»</t>
  </si>
  <si>
    <t xml:space="preserve">Логистика. Склад. Экспедирование</t>
  </si>
  <si>
    <t xml:space="preserve">1328998PO</t>
  </si>
  <si>
    <t xml:space="preserve">Логические исследования</t>
  </si>
  <si>
    <t xml:space="preserve">Логопед</t>
  </si>
  <si>
    <t xml:space="preserve">1325191PO</t>
  </si>
  <si>
    <t xml:space="preserve">Логос</t>
  </si>
  <si>
    <t xml:space="preserve">988327PO</t>
  </si>
  <si>
    <t xml:space="preserve">  Издательство Института Гайдара</t>
  </si>
  <si>
    <t xml:space="preserve">Локомотив</t>
  </si>
  <si>
    <t xml:space="preserve">Локус:люди, общество, культуры, смыслы</t>
  </si>
  <si>
    <t xml:space="preserve">1191794PO</t>
  </si>
  <si>
    <t xml:space="preserve">Макрогетероциклы/Macroheterocycles</t>
  </si>
  <si>
    <t xml:space="preserve">Маркетинг в России и за рубежом</t>
  </si>
  <si>
    <t xml:space="preserve">915629PO</t>
  </si>
  <si>
    <t xml:space="preserve">ООО "Финпресс"</t>
  </si>
  <si>
    <t xml:space="preserve">Журнал содержит материалы по методам исследования рынка, планированию в маркетинге и его инструментам, организации маркетингового процесса (службы маркетинга, дилерские и другие коммерческие центры), конкурентоспособности, товарной и ценовой политике, поведению потребителей (формирование спроса и стимулирование сбыта), рекламной деятельности и PR, управлению международным бизнесом, вопросам отраслевого и экспортного маркетинга.</t>
  </si>
  <si>
    <t xml:space="preserve">Маркшейдерия и недропользование</t>
  </si>
  <si>
    <t xml:space="preserve">ООО «ИД Недропользование и горные науки»</t>
  </si>
  <si>
    <t xml:space="preserve">Масс-Спектрометрия </t>
  </si>
  <si>
    <t xml:space="preserve">1190614PO</t>
  </si>
  <si>
    <t xml:space="preserve">  Всероссийское масс-спектрометрическое общество</t>
  </si>
  <si>
    <t xml:space="preserve">Мастер продаж</t>
  </si>
  <si>
    <t xml:space="preserve">Математика в школе</t>
  </si>
  <si>
    <t xml:space="preserve">1255707PO</t>
  </si>
  <si>
    <t xml:space="preserve">Математика для школьников </t>
  </si>
  <si>
    <t xml:space="preserve">1257199PO</t>
  </si>
  <si>
    <t xml:space="preserve">Математические заметки</t>
  </si>
  <si>
    <t xml:space="preserve">Математические труды</t>
  </si>
  <si>
    <t xml:space="preserve">Математический сборник</t>
  </si>
  <si>
    <t xml:space="preserve">Математическое моделирование</t>
  </si>
  <si>
    <t xml:space="preserve">1193700PO</t>
  </si>
  <si>
    <t xml:space="preserve">Машиностроение и инженерное образование</t>
  </si>
  <si>
    <t xml:space="preserve">1326370PO</t>
  </si>
  <si>
    <t xml:space="preserve">Медиалингвистика</t>
  </si>
  <si>
    <t xml:space="preserve">1315458PO</t>
  </si>
  <si>
    <t xml:space="preserve">Медицина и биотехнологии</t>
  </si>
  <si>
    <t xml:space="preserve">Медицина катастроф</t>
  </si>
  <si>
    <t xml:space="preserve">1317949PO</t>
  </si>
  <si>
    <t xml:space="preserve">ФГБУ «ВЦМК «Защита» ФМБА России</t>
  </si>
  <si>
    <t xml:space="preserve">Медицина труда и промышленная экология</t>
  </si>
  <si>
    <t xml:space="preserve">ФГБНУ "Научно-исследовательский институт медицины труда имени академика Н.Ф. Измерова" </t>
  </si>
  <si>
    <t xml:space="preserve">Медицина, социология, философия</t>
  </si>
  <si>
    <t xml:space="preserve">Медицинская визуализация</t>
  </si>
  <si>
    <t xml:space="preserve">994178PO</t>
  </si>
  <si>
    <t xml:space="preserve">Медицинская газета</t>
  </si>
  <si>
    <t xml:space="preserve">996799PO</t>
  </si>
  <si>
    <t xml:space="preserve">OOO «Медицинская газета»</t>
  </si>
  <si>
    <t xml:space="preserve">Медицинская генетика</t>
  </si>
  <si>
    <t xml:space="preserve">1220029PO</t>
  </si>
  <si>
    <t xml:space="preserve">ИП Иришкин Д.А.</t>
  </si>
  <si>
    <t xml:space="preserve">Дедовск</t>
  </si>
  <si>
    <t xml:space="preserve">Медицинская иммунология</t>
  </si>
  <si>
    <t xml:space="preserve">1012608PO</t>
  </si>
  <si>
    <t xml:space="preserve">Медицинская паразитология и паразитарные болезни</t>
  </si>
  <si>
    <t xml:space="preserve">1140085PO</t>
  </si>
  <si>
    <t xml:space="preserve">МИП «Научно-образовательный паразитологический центр им. П.Г. Сергиева»</t>
  </si>
  <si>
    <t xml:space="preserve">Медицинская сестра</t>
  </si>
  <si>
    <t xml:space="preserve">53135</t>
  </si>
  <si>
    <t xml:space="preserve">Журнал знакомит с самыми современными технологиями и инновациями сестринской практики, исследованиями в области организации и практики работы сестринских служб, современных методов и методик профессиональной подготовки медсестер всех уровней. </t>
  </si>
  <si>
    <t xml:space="preserve">Медицинские технологии. Оценка и выбор</t>
  </si>
  <si>
    <t xml:space="preserve">1335926PO</t>
  </si>
  <si>
    <t xml:space="preserve">Медицинский альманах</t>
  </si>
  <si>
    <t xml:space="preserve">1214016PO</t>
  </si>
  <si>
    <t xml:space="preserve">  ООО "Ремедиум Приволжье"</t>
  </si>
  <si>
    <t xml:space="preserve">Нижний Новгород</t>
  </si>
  <si>
    <t xml:space="preserve">Медицинский совет</t>
  </si>
  <si>
    <t xml:space="preserve">825156PO</t>
  </si>
  <si>
    <t xml:space="preserve">Научно-практический журнал для врачей</t>
  </si>
  <si>
    <t xml:space="preserve">Медицинское образование и профессиональное развитие</t>
  </si>
  <si>
    <t xml:space="preserve">1270452PO</t>
  </si>
  <si>
    <t xml:space="preserve">Медсестра</t>
  </si>
  <si>
    <t xml:space="preserve">Международная жизнь</t>
  </si>
  <si>
    <t xml:space="preserve">14484</t>
  </si>
  <si>
    <t xml:space="preserve">Журнал МИД РФ о проблемах мировой политики, дипломатии и международных отношений.</t>
  </si>
  <si>
    <t xml:space="preserve">Международная экономика</t>
  </si>
  <si>
    <t xml:space="preserve">Международные процессы</t>
  </si>
  <si>
    <t xml:space="preserve">50584</t>
  </si>
  <si>
    <t xml:space="preserve">Журнал по теории международных отношений. Политический анализ и проблемы миросистемного регулирования, общие вопросы мировой экономики и международного права, концептуальные вопросы международной безопасности, философия международных отношений, политическая психология, теория международного конфликта - вот неполный перечень сфер интересов журнала.</t>
  </si>
  <si>
    <t xml:space="preserve">Международный аспирантский вестник. Русский язык за рубежом</t>
  </si>
  <si>
    <t xml:space="preserve">Федеральное государственное бюджетное образовательное учреждение высшего образования «Государственный институт русского языка 
им. А.С. Пушкина»</t>
  </si>
  <si>
    <t xml:space="preserve">Международный бухгалтерский учет</t>
  </si>
  <si>
    <t xml:space="preserve">955884PO</t>
  </si>
  <si>
    <t xml:space="preserve">В журнале освещаются проблемы реформирования российской системы бухгалтерского учета в соответствии с международными стандартами финансовой отчетности; вопросы создания и внедрения национальных стандартов (ПБУ); основные системы международного бухгалтерского учета; образовательные программы по основам международного бухгалтерского учета.</t>
  </si>
  <si>
    <t xml:space="preserve">Международный вестник ветеринарии</t>
  </si>
  <si>
    <t xml:space="preserve">996801PO</t>
  </si>
  <si>
    <t xml:space="preserve">Санкт-Петербургская государственная академия ветеринарной медицины</t>
  </si>
  <si>
    <t xml:space="preserve">Международный журнал «Гражданского и торгового права»</t>
  </si>
  <si>
    <t xml:space="preserve">1215277PO</t>
  </si>
  <si>
    <t xml:space="preserve">Международный журнал «Конституционного и государственного права»</t>
  </si>
  <si>
    <t xml:space="preserve">1215273PO</t>
  </si>
  <si>
    <t xml:space="preserve">Международный журнал «Социально-гуманитарное обозрение»</t>
  </si>
  <si>
    <t xml:space="preserve">1215281PO</t>
  </si>
  <si>
    <t xml:space="preserve">Международный журнал «Уголовное судопроизводство: проблемы теории  и практики»</t>
  </si>
  <si>
    <t xml:space="preserve">1215286PO</t>
  </si>
  <si>
    <t xml:space="preserve">Мелиорация и водное хозяйство</t>
  </si>
  <si>
    <t xml:space="preserve">1276768PO</t>
  </si>
  <si>
    <t xml:space="preserve">Автономная некоммерческая организация «Редакция журнала «Мелиорация и водное хозяйство»</t>
  </si>
  <si>
    <t xml:space="preserve">1214060PO</t>
  </si>
  <si>
    <t xml:space="preserve">Мембраны и мембранные технологии</t>
  </si>
  <si>
    <t xml:space="preserve">1183584PO</t>
  </si>
  <si>
    <t xml:space="preserve">Менеджмент в России и за рубежом</t>
  </si>
  <si>
    <t xml:space="preserve">916533PO</t>
  </si>
  <si>
    <t xml:space="preserve">Журнал содержит материалы по теории, организации и экономике менеджмента, управлению персоналом, финансовому и отраслевому менеджменту, управлению международным бизнесом, управленческому консалтингу, новым технологиям менеджмента.</t>
  </si>
  <si>
    <t xml:space="preserve">Менеджмент и бизнес-администрирование</t>
  </si>
  <si>
    <t xml:space="preserve">1173914PO</t>
  </si>
  <si>
    <t xml:space="preserve">Акционерное общество «Издательский дом «Экономическая газета»</t>
  </si>
  <si>
    <t xml:space="preserve">Менеджмент качества в медицине</t>
  </si>
  <si>
    <t xml:space="preserve">1305189PO</t>
  </si>
  <si>
    <t xml:space="preserve">Металловедение и термическая обработка металлов</t>
  </si>
  <si>
    <t xml:space="preserve">1316724PO</t>
  </si>
  <si>
    <t xml:space="preserve">Фундаментальные и прикладные вопросы металловедения и термообработки металлов; конструкционные, инструментальные, жаропрочные, прецизионные, радиационно-стойкие стали и сплавы, наноматериалы и нанотехнологии в области металловедения и термообработки</t>
  </si>
  <si>
    <t xml:space="preserve">Металлообработка</t>
  </si>
  <si>
    <t xml:space="preserve">996800PO</t>
  </si>
  <si>
    <t xml:space="preserve">АО Издательство "Политехника"</t>
  </si>
  <si>
    <t xml:space="preserve">Металлург</t>
  </si>
  <si>
    <t xml:space="preserve">1242018PO</t>
  </si>
  <si>
    <t xml:space="preserve">ООО "Металлургиздат"</t>
  </si>
  <si>
    <t xml:space="preserve">Металлы</t>
  </si>
  <si>
    <t xml:space="preserve">1306096PO</t>
  </si>
  <si>
    <t xml:space="preserve">Метеорология и гидрология </t>
  </si>
  <si>
    <t xml:space="preserve">ФГБУ НИЦ "Планета"</t>
  </si>
  <si>
    <t xml:space="preserve">Методы менеджмента качества</t>
  </si>
  <si>
    <t xml:space="preserve">1212131PO</t>
  </si>
  <si>
    <t xml:space="preserve">Механика композиционных материалов и конструкций</t>
  </si>
  <si>
    <t xml:space="preserve">1195409PO</t>
  </si>
  <si>
    <t xml:space="preserve">Мехатроника, автоматизация, управление</t>
  </si>
  <si>
    <t xml:space="preserve">1280259PO</t>
  </si>
  <si>
    <t xml:space="preserve">Микология и фитопатология</t>
  </si>
  <si>
    <t xml:space="preserve">1183553PO</t>
  </si>
  <si>
    <t xml:space="preserve">Микробиология</t>
  </si>
  <si>
    <t xml:space="preserve">1183554PO</t>
  </si>
  <si>
    <t xml:space="preserve">Микроэкономика</t>
  </si>
  <si>
    <t xml:space="preserve">1339887PO</t>
  </si>
  <si>
    <t xml:space="preserve">АНО "Институт экономических стратегий"</t>
  </si>
  <si>
    <t xml:space="preserve">Микроэлектроника</t>
  </si>
  <si>
    <t xml:space="preserve">1183572PO</t>
  </si>
  <si>
    <t xml:space="preserve">Мир больших данных (Big data)</t>
  </si>
  <si>
    <t xml:space="preserve">1248719PO</t>
  </si>
  <si>
    <t xml:space="preserve">Мир измерений</t>
  </si>
  <si>
    <t xml:space="preserve">1212135PO</t>
  </si>
  <si>
    <t xml:space="preserve">Мир новой экономики</t>
  </si>
  <si>
    <t xml:space="preserve">1228561PO</t>
  </si>
  <si>
    <t xml:space="preserve">Мир образования - образование в мире</t>
  </si>
  <si>
    <t xml:space="preserve">Мир психологии</t>
  </si>
  <si>
    <t xml:space="preserve">Мир Севера</t>
  </si>
  <si>
    <t xml:space="preserve">1214127PO</t>
  </si>
  <si>
    <t xml:space="preserve">Мир транспорта и технологических машин</t>
  </si>
  <si>
    <t xml:space="preserve">Мировая торговля оружием</t>
  </si>
  <si>
    <t xml:space="preserve">1293735PO</t>
  </si>
  <si>
    <t xml:space="preserve">Мировая экономика и международные отношения</t>
  </si>
  <si>
    <t xml:space="preserve">47618</t>
  </si>
  <si>
    <t xml:space="preserve">Журнал академического Института мировой экономики и международных отношений, ведущего "мозгового центра", в советские времена вырабатывавшего рекомендации по формированию политического и экономического курса страны.</t>
  </si>
  <si>
    <t xml:space="preserve">Модели, системы, сети в экономике, технике, природе и обществе</t>
  </si>
  <si>
    <t xml:space="preserve">1244932PO</t>
  </si>
  <si>
    <t xml:space="preserve">Модернизация ЖКХ</t>
  </si>
  <si>
    <t xml:space="preserve">Молекулярная биология</t>
  </si>
  <si>
    <t xml:space="preserve">Молекулярная генетика, микробиология и вирусология</t>
  </si>
  <si>
    <t xml:space="preserve">53893</t>
  </si>
  <si>
    <t xml:space="preserve">K1</t>
  </si>
  <si>
    <t xml:space="preserve">Молекулярная медицина</t>
  </si>
  <si>
    <t xml:space="preserve">939366PO</t>
  </si>
  <si>
    <t xml:space="preserve">Молодая гвардия</t>
  </si>
  <si>
    <t xml:space="preserve">12806</t>
  </si>
  <si>
    <t xml:space="preserve">ООО «Журнал «Молодая гвардия»</t>
  </si>
  <si>
    <t xml:space="preserve">Литературно-художественный журнал радикально- консервативной направленности.</t>
  </si>
  <si>
    <t xml:space="preserve">Молодой исследователь Дона</t>
  </si>
  <si>
    <t xml:space="preserve">Молочная промышленность</t>
  </si>
  <si>
    <t xml:space="preserve">Молочное и мясное скотоводство</t>
  </si>
  <si>
    <t xml:space="preserve">1213860PO</t>
  </si>
  <si>
    <t xml:space="preserve">ООО «Редакция «МиМС»</t>
  </si>
  <si>
    <t xml:space="preserve">Балашиха</t>
  </si>
  <si>
    <t xml:space="preserve">Монитор. Еженедельный бюллетень военно-технической информации</t>
  </si>
  <si>
    <t xml:space="preserve">1277331PO</t>
  </si>
  <si>
    <t xml:space="preserve">Монокль</t>
  </si>
  <si>
    <t xml:space="preserve">АНО «Творческий коллектив Эксперт»</t>
  </si>
  <si>
    <t xml:space="preserve">Морской сборник</t>
  </si>
  <si>
    <t xml:space="preserve">13806</t>
  </si>
  <si>
    <t xml:space="preserve">Журнал посвящен проблемам российского флота, сегодняшней ситуации в военно-морских силах, теоретическим и тактическим вопросам военно-морской науки. Значительное внимание уделяется вопросам перевооружения, образования военно-морских офицеров, подготовки медицинских кадров для военно-морского флота в Военной медицинской академии.</t>
  </si>
  <si>
    <t xml:space="preserve">838168PO</t>
  </si>
  <si>
    <t xml:space="preserve">Журнал русской культуры национально-православной ориентации. Современная отечественная проза, поэзия, публицистика.</t>
  </si>
  <si>
    <t xml:space="preserve">Московская правда</t>
  </si>
  <si>
    <t xml:space="preserve">12130</t>
  </si>
  <si>
    <t xml:space="preserve">ЗАО «Редакция газеты «Московская правда»</t>
  </si>
  <si>
    <t xml:space="preserve">Популярная московская ежедневная газета. Хроника городской политической и экономической жизни, новости культуры, спорта и т.д.</t>
  </si>
  <si>
    <t xml:space="preserve">Московская эндокринология сегодня</t>
  </si>
  <si>
    <t xml:space="preserve">Московский журнал международного права</t>
  </si>
  <si>
    <t xml:space="preserve">1271626PO</t>
  </si>
  <si>
    <t xml:space="preserve">Московский журнал. История государства Российского. Ежемесячное иллюстрированное издание</t>
  </si>
  <si>
    <t xml:space="preserve">Московский комсомолец</t>
  </si>
  <si>
    <t xml:space="preserve">12133</t>
  </si>
  <si>
    <t xml:space="preserve">АО «Редакция газеты «Московский комсомолец»</t>
  </si>
  <si>
    <t xml:space="preserve">Московская ежедневная газета, ориентированная на молодежную аудиторию. Известна громкими материалами, разоблачающими коррупцию во властных структурах.</t>
  </si>
  <si>
    <t xml:space="preserve">Московский краевед</t>
  </si>
  <si>
    <t xml:space="preserve">ГБУК r. Москвы «ОКЦ ЮЗАО» </t>
  </si>
  <si>
    <t xml:space="preserve">Мосты. Журнал переводчиков</t>
  </si>
  <si>
    <t xml:space="preserve">1284678PO</t>
  </si>
  <si>
    <t xml:space="preserve">ООО «Р.Валент»</t>
  </si>
  <si>
    <t xml:space="preserve">Музей</t>
  </si>
  <si>
    <t xml:space="preserve">1241482PO</t>
  </si>
  <si>
    <t xml:space="preserve">Музей и мы</t>
  </si>
  <si>
    <t xml:space="preserve">847458PO</t>
  </si>
  <si>
    <t xml:space="preserve">Курган</t>
  </si>
  <si>
    <t xml:space="preserve">Музыка в школе</t>
  </si>
  <si>
    <t xml:space="preserve">1280158PO</t>
  </si>
  <si>
    <t xml:space="preserve">Музыка и электроника</t>
  </si>
  <si>
    <t xml:space="preserve">1280153PO</t>
  </si>
  <si>
    <t xml:space="preserve">Музыкальная академия</t>
  </si>
  <si>
    <t xml:space="preserve">АНО "Издательство "КОМПОЗИТОР"</t>
  </si>
  <si>
    <t xml:space="preserve">Музыкальная жизнь</t>
  </si>
  <si>
    <t xml:space="preserve">Музыкальная палитра</t>
  </si>
  <si>
    <t xml:space="preserve">1317574PO</t>
  </si>
  <si>
    <t xml:space="preserve">ИП Буренина Анна Иосифовна</t>
  </si>
  <si>
    <t xml:space="preserve">Музыкальное искусство и образование</t>
  </si>
  <si>
    <t xml:space="preserve">1189681PO</t>
  </si>
  <si>
    <t xml:space="preserve">Музыкальный альманах Томского государственного университета</t>
  </si>
  <si>
    <t xml:space="preserve">Музыкальный руководитель</t>
  </si>
  <si>
    <t xml:space="preserve">1284230PO</t>
  </si>
  <si>
    <t xml:space="preserve">Муниципалитет: экономика и управление</t>
  </si>
  <si>
    <t xml:space="preserve">1267063PO</t>
  </si>
  <si>
    <t xml:space="preserve">Мурзилка </t>
  </si>
  <si>
    <t xml:space="preserve">977723PO</t>
  </si>
  <si>
    <t xml:space="preserve">Популярный детский литературно -художественный журнал. Издается с мая 1924 года и адресован детям от 6 до 12 лет. Главным отличием журнала для детей "Мурзилка" является качественная детская литература. В разные годы с журналом сотрудничали Агния Барто, Корней Чуковский, С. Маршак, Пришвин, Паустовский. В настоящее время в журнале также публикуются произведения современных детских писателей. Печатаются детские сказки, сказочные повести, детские рассказы, пьесы, детские стихи.  </t>
  </si>
  <si>
    <t xml:space="preserve">Мягкие измерения и вычисления</t>
  </si>
  <si>
    <t xml:space="preserve">Мясная индустрия</t>
  </si>
  <si>
    <t xml:space="preserve">1328398PO</t>
  </si>
  <si>
    <t xml:space="preserve">ООО редакция журнала "Мясная индустрия"</t>
  </si>
  <si>
    <t xml:space="preserve">На страже Заполярья</t>
  </si>
  <si>
    <t xml:space="preserve">12496</t>
  </si>
  <si>
    <t xml:space="preserve">Североморск</t>
  </si>
  <si>
    <t xml:space="preserve">Газета Северного флота. Выходит с 18 июня 1937 года. Печатается в Североморске - 104 выпуска в год. Освещает проблемы российского флота, специфику военной службы на севере, публикует официальные документы Министерства обороны РФ.</t>
  </si>
  <si>
    <t xml:space="preserve">На страже Родины</t>
  </si>
  <si>
    <t xml:space="preserve">12470</t>
  </si>
  <si>
    <t xml:space="preserve">Ежедневная газета Ленинградского военного округа. Является прямой преемницей газеты ""Русский инвалид"", издававшейся ежедневно с февраля 1813 г. Посвящена широкому кругу проблем - от военно-политических вопросов до бытовых проблем военнослужащих.</t>
  </si>
  <si>
    <t xml:space="preserve">Надежность и безопасность энергетики</t>
  </si>
  <si>
    <t xml:space="preserve">ООО "НПО Энергобезопасность"</t>
  </si>
  <si>
    <t xml:space="preserve">Надежность и качество сложных систем</t>
  </si>
  <si>
    <t xml:space="preserve">1357967PO</t>
  </si>
  <si>
    <t xml:space="preserve">Нано- и микросистемная техника</t>
  </si>
  <si>
    <t xml:space="preserve">1280261PO</t>
  </si>
  <si>
    <t xml:space="preserve">Наногетерогенный катализ </t>
  </si>
  <si>
    <t xml:space="preserve">1276770PO</t>
  </si>
  <si>
    <t xml:space="preserve">ООО  МАИК «НАУКА/ИНТЕРПЕРИОДИКА»</t>
  </si>
  <si>
    <t xml:space="preserve">НАНОИНДУСТРИЯ</t>
  </si>
  <si>
    <t xml:space="preserve">1258658PO</t>
  </si>
  <si>
    <t xml:space="preserve">ЗАО РИЦ «Техносфера»</t>
  </si>
  <si>
    <t xml:space="preserve">Нанотехнологии в строительстве</t>
  </si>
  <si>
    <t xml:space="preserve">  ЦHT "НаноСтроительство"</t>
  </si>
  <si>
    <t xml:space="preserve">Нанотехнологии: разработка, применение — XXI век</t>
  </si>
  <si>
    <t xml:space="preserve">1308066PO</t>
  </si>
  <si>
    <t xml:space="preserve">Наркология</t>
  </si>
  <si>
    <t xml:space="preserve">1220033PO</t>
  </si>
  <si>
    <t xml:space="preserve">Народное образование</t>
  </si>
  <si>
    <t xml:space="preserve">908186PO</t>
  </si>
  <si>
    <t xml:space="preserve">Российский общественно-педагогический журнал «Народное образование» – это издание энциклопедического типа. Журнал выпускается с 1803 года. В журнале освещаются важные события в сфере образования, нормативные акты, практический опыт специалистов, методологические основы, этические и психологические аспекты педагогической деятельности, проблемы воспитания. </t>
  </si>
  <si>
    <t xml:space="preserve">Наука и жизнь</t>
  </si>
  <si>
    <t xml:space="preserve">825153PO</t>
  </si>
  <si>
    <t xml:space="preserve">Автономная некоммерческая организация «Редакция журнала «Наука и жизнь»</t>
  </si>
  <si>
    <t xml:space="preserve">Научно-популярный журнал широкого профиля для самообразования и семейного чтения. Наука, техника, медицина, история, человек и компьютер, логические задачи, головоломки.</t>
  </si>
  <si>
    <t xml:space="preserve">Наука и религия</t>
  </si>
  <si>
    <t xml:space="preserve">837467PO</t>
  </si>
  <si>
    <t xml:space="preserve">«Наука и религия» — массовый научно-популярный журнал для семейного чтения. Журнал видит свою миссию в том, чтобы содействовать диалогу науки и религии – важнейших начал, определяющих духовное здоровье общества. </t>
  </si>
  <si>
    <t xml:space="preserve">Наука и техника</t>
  </si>
  <si>
    <t xml:space="preserve">Наука и техника в дорожной отрасли</t>
  </si>
  <si>
    <t xml:space="preserve">Наука и школа</t>
  </si>
  <si>
    <t xml:space="preserve">1189669PO</t>
  </si>
  <si>
    <t xml:space="preserve">Наука Юга России</t>
  </si>
  <si>
    <t xml:space="preserve">1194481PO</t>
  </si>
  <si>
    <t xml:space="preserve">.</t>
  </si>
  <si>
    <t xml:space="preserve">Науковедение (Библиографические указатели)</t>
  </si>
  <si>
    <t xml:space="preserve">1304584PO</t>
  </si>
  <si>
    <t xml:space="preserve">Науковедение (Реферативный журнал)</t>
  </si>
  <si>
    <t xml:space="preserve">1305020PO</t>
  </si>
  <si>
    <t xml:space="preserve">Науковедческие исследования</t>
  </si>
  <si>
    <t xml:space="preserve">1305032PO</t>
  </si>
  <si>
    <t xml:space="preserve">Наукоемкие технологии</t>
  </si>
  <si>
    <t xml:space="preserve">1308069PO</t>
  </si>
  <si>
    <t xml:space="preserve">Наукоемкие технологии в машиностроении</t>
  </si>
  <si>
    <t xml:space="preserve">1342071PO</t>
  </si>
  <si>
    <t xml:space="preserve">Научное приборостроение</t>
  </si>
  <si>
    <t xml:space="preserve">1183588PO</t>
  </si>
  <si>
    <t xml:space="preserve">Научно-технический вестник информационных технологий, механики и оптики</t>
  </si>
  <si>
    <t xml:space="preserve">1187805PO</t>
  </si>
  <si>
    <t xml:space="preserve">Научные записки молодых исследователей</t>
  </si>
  <si>
    <t xml:space="preserve">1228562PO</t>
  </si>
  <si>
    <t xml:space="preserve">Научные и технические библиотеки</t>
  </si>
  <si>
    <t xml:space="preserve">762626PO</t>
  </si>
  <si>
    <t xml:space="preserve">ГПНТБ России</t>
  </si>
  <si>
    <t xml:space="preserve">Ежемесячное научно-практическое издание - сборник по вопросам теории и практики библиотечного дела - освещает все стороны деятельности библиотек технического, естественно-научного, медицинского, сельскохозяйственного профиля.</t>
  </si>
  <si>
    <t xml:space="preserve">Научные исследования и разработки. Российский журнал управления проектами</t>
  </si>
  <si>
    <t xml:space="preserve">1337750PO</t>
  </si>
  <si>
    <t xml:space="preserve">Научные исследования и разработки. Современная коммуникативистика</t>
  </si>
  <si>
    <t xml:space="preserve">1300102PO</t>
  </si>
  <si>
    <t xml:space="preserve">Научные исследования и разработки. Социально-гуманитарные исследования и технологии</t>
  </si>
  <si>
    <t xml:space="preserve">Научные исследования и разработки. Экономика</t>
  </si>
  <si>
    <t xml:space="preserve">Научные исследования и разработки. Экономика фирмы</t>
  </si>
  <si>
    <t xml:space="preserve">Научные результаты биомедицинских исследований</t>
  </si>
  <si>
    <t xml:space="preserve">Научные результаты в социальной работе</t>
  </si>
  <si>
    <t xml:space="preserve">Научный альманах стран Причерноморья</t>
  </si>
  <si>
    <t xml:space="preserve">Научный результат. Вопросы теоретической и прикладной лингвистики</t>
  </si>
  <si>
    <t xml:space="preserve">Научный результат. Информационные технологии</t>
  </si>
  <si>
    <t xml:space="preserve">Научный результат. Педагогика и психология образования</t>
  </si>
  <si>
    <t xml:space="preserve">Научный результат. Социальные и гуманитарные исследования</t>
  </si>
  <si>
    <t xml:space="preserve">Научный результат. Социология и управление</t>
  </si>
  <si>
    <t xml:space="preserve">Научный результат. Технологии бизнеса и сервиса</t>
  </si>
  <si>
    <t xml:space="preserve">Научный результат. Экономические исследования</t>
  </si>
  <si>
    <t xml:space="preserve">Национальная оборона</t>
  </si>
  <si>
    <t xml:space="preserve">907231PO</t>
  </si>
  <si>
    <t xml:space="preserve">ООО "Издательский дом "Национальная оборона""</t>
  </si>
  <si>
    <t xml:space="preserve">Национальные интересы: приоритеты и безопасность</t>
  </si>
  <si>
    <t xml:space="preserve">907232PO</t>
  </si>
  <si>
    <t xml:space="preserve">Журнал «Национальные интересы: приоритеты и безопасность» освещает актуальные проблемы национальных интересов, приоритетные направления развития экономики, вопросы национальной безопасности России и регионов в различных сферах экономики, политики, науки, техники и технологии.</t>
  </si>
  <si>
    <t xml:space="preserve">Национальный Банковский Журнал</t>
  </si>
  <si>
    <t xml:space="preserve">945484PO</t>
  </si>
  <si>
    <t xml:space="preserve">Учредитель - Ассоциация российских банков(АРБ). Знакомит читателей с самыми актуальными темами финансово-кредитной отрасли, эксклюзивными интервью, сенсационными расследованиями, аналитикой и комментариями.</t>
  </si>
  <si>
    <t xml:space="preserve">Национальный психологический журнал</t>
  </si>
  <si>
    <t xml:space="preserve">1213534PO</t>
  </si>
  <si>
    <t xml:space="preserve">Начальная школа</t>
  </si>
  <si>
    <t xml:space="preserve">1138292PO</t>
  </si>
  <si>
    <t xml:space="preserve">ООО Издательство "Начальная школа и образование"</t>
  </si>
  <si>
    <t xml:space="preserve">Начальнику службы безопасности. Security Director 2.0</t>
  </si>
  <si>
    <t xml:space="preserve">Начальное образование</t>
  </si>
  <si>
    <t xml:space="preserve">1271466PO</t>
  </si>
  <si>
    <t xml:space="preserve">Наш современник</t>
  </si>
  <si>
    <t xml:space="preserve">12809</t>
  </si>
  <si>
    <t xml:space="preserve">АНО «Редакция журнала «Наш современник»</t>
  </si>
  <si>
    <t xml:space="preserve">Наиболее известный журнал писателей России консервативной направленности, выражающий неприятие рыночных реформ как угрозы традиционным духовным ценностям руского народа.</t>
  </si>
  <si>
    <t xml:space="preserve">Нева</t>
  </si>
  <si>
    <t xml:space="preserve">12812</t>
  </si>
  <si>
    <t xml:space="preserve">ООО "Журнал "Нева"</t>
  </si>
  <si>
    <t xml:space="preserve">Известный литературно-художественный журнал, выходящий в Санкт-Петербурге.</t>
  </si>
  <si>
    <t xml:space="preserve">Неврологический журнал имени Л.О. Бадаляна</t>
  </si>
  <si>
    <t xml:space="preserve">1316720PO</t>
  </si>
  <si>
    <t xml:space="preserve">ФГАУ "НМИЦ здоровья детей" Минздрава России</t>
  </si>
  <si>
    <t xml:space="preserve">Неврология и нейрохирургия Восточная Европа</t>
  </si>
  <si>
    <t xml:space="preserve">987351PO</t>
  </si>
  <si>
    <t xml:space="preserve">Неврология сегодня</t>
  </si>
  <si>
    <t xml:space="preserve">Независимая газета</t>
  </si>
  <si>
    <t xml:space="preserve">12137</t>
  </si>
  <si>
    <t xml:space="preserve">ЗАО «Редакция «Независимой газеты»</t>
  </si>
  <si>
    <t xml:space="preserve">Авторитетная ежедневная газета, рассчитанная на образованные и политически активные слои общества. Является престижной трибуной для известных политиков, бизнесменов, ученых разных убеждений и ориентаций. Отличается высоким качеством публикаций по вопросам литературы и культуры, а также истории общественной мысли в России и за рубежом.</t>
  </si>
  <si>
    <t xml:space="preserve">Независимый психиатрический журнал</t>
  </si>
  <si>
    <t xml:space="preserve">1316727PO</t>
  </si>
  <si>
    <t xml:space="preserve">Актуальные проблемы психиатрии и права, клинические разборы, экспертные заключения, юридические комментарии, методологические работы, дискуссии. Для профессионалов и лиц, интересующихся психиатрией как патологической антропологией и персонологией</t>
  </si>
  <si>
    <t xml:space="preserve">Нейрокомпьютеры: разработка, применение</t>
  </si>
  <si>
    <t xml:space="preserve">1308070PO</t>
  </si>
  <si>
    <t xml:space="preserve">Нейрохимия</t>
  </si>
  <si>
    <t xml:space="preserve">1183591PO</t>
  </si>
  <si>
    <t xml:space="preserve">Нейрохирургия</t>
  </si>
  <si>
    <t xml:space="preserve">Нелинейный мир</t>
  </si>
  <si>
    <t xml:space="preserve">1308071PO</t>
  </si>
  <si>
    <t xml:space="preserve">Неонатология: новости, мнения, обучение</t>
  </si>
  <si>
    <t xml:space="preserve">1270450PO</t>
  </si>
  <si>
    <t xml:space="preserve">Неорганические материалы</t>
  </si>
  <si>
    <t xml:space="preserve">1183594PO</t>
  </si>
  <si>
    <t xml:space="preserve">Неприкосновенный запас</t>
  </si>
  <si>
    <t xml:space="preserve">52875</t>
  </si>
  <si>
    <t xml:space="preserve">Очерки нравов культурного сообщества (критико-эссеистическое приложение к журналу "Новое литературное обозрение").</t>
  </si>
  <si>
    <t xml:space="preserve">Нервно-мышечные болезни</t>
  </si>
  <si>
    <t xml:space="preserve">Нервные болезни</t>
  </si>
  <si>
    <t xml:space="preserve">980561PO</t>
  </si>
  <si>
    <t xml:space="preserve">Нефрология</t>
  </si>
  <si>
    <t xml:space="preserve">1318484PO</t>
  </si>
  <si>
    <t xml:space="preserve">АНО «Нефрология»</t>
  </si>
  <si>
    <t xml:space="preserve">Нефтепромысловое дело</t>
  </si>
  <si>
    <t xml:space="preserve">1242718PO</t>
  </si>
  <si>
    <t xml:space="preserve">UDB-IBD</t>
  </si>
  <si>
    <t xml:space="preserve">Нефтехимия</t>
  </si>
  <si>
    <t xml:space="preserve">1183595PO</t>
  </si>
  <si>
    <t xml:space="preserve">Нефтяное хозяйство</t>
  </si>
  <si>
    <t xml:space="preserve">ЗАО "Издательство "Нефтяное хозяйство"</t>
  </si>
  <si>
    <t xml:space="preserve">Новая и новейшая история</t>
  </si>
  <si>
    <t xml:space="preserve">47617</t>
  </si>
  <si>
    <t xml:space="preserve">Журнал посвящен событиям, происходившим в мире начиная с возникновения и развития в нем капиталистических отношений. Публикуется много архивных документов, очерки, посвященные известным историческим деятелям.</t>
  </si>
  <si>
    <t xml:space="preserve">Новейшая история России</t>
  </si>
  <si>
    <t xml:space="preserve">1306197PO</t>
  </si>
  <si>
    <t xml:space="preserve">Новое в психолого-педагогических исследованиях</t>
  </si>
  <si>
    <t xml:space="preserve">Новое литературное обозрение</t>
  </si>
  <si>
    <t xml:space="preserve">12818</t>
  </si>
  <si>
    <t xml:space="preserve">Филологический и культуроведческий журнал высокого уровня. Представлены работы западных и отечественных авторов, историко-литературные труды, статьи, эссе, архивные материалы, библиография книжно-журнальных новинок.</t>
  </si>
  <si>
    <t xml:space="preserve">Новости космонавтики</t>
  </si>
  <si>
    <t xml:space="preserve">50894</t>
  </si>
  <si>
    <t xml:space="preserve">Журнал, освещающий события мировой и российской космонавтики.</t>
  </si>
  <si>
    <t xml:space="preserve">Новый мир</t>
  </si>
  <si>
    <t xml:space="preserve">12821</t>
  </si>
  <si>
    <t xml:space="preserve">АО "Редакция журнала "Новый мир"</t>
  </si>
  <si>
    <t xml:space="preserve">Самый известный мировой общественности со времен редакторства Александра Твардовского российский литературно-художественный журнал. По-прежнему остается одним из самых престижных среди так называемых "толстых журналов".</t>
  </si>
  <si>
    <t xml:space="preserve">Нормативно-правовое регулирование в ветеринарии</t>
  </si>
  <si>
    <t xml:space="preserve">998043PO</t>
  </si>
  <si>
    <t xml:space="preserve">Нормирование и оплата труда в промышленности</t>
  </si>
  <si>
    <t xml:space="preserve">1309990PO</t>
  </si>
  <si>
    <t xml:space="preserve">Нормирование и оплата труда в сельском хозяйстве</t>
  </si>
  <si>
    <t xml:space="preserve">1308104PO</t>
  </si>
  <si>
    <t xml:space="preserve">ОБЖ. Основы безопасности жизни</t>
  </si>
  <si>
    <t xml:space="preserve">1280146PO</t>
  </si>
  <si>
    <t xml:space="preserve">РО Школа Безопасности</t>
  </si>
  <si>
    <t xml:space="preserve">Обогащение руд</t>
  </si>
  <si>
    <t xml:space="preserve">1234026PO</t>
  </si>
  <si>
    <t xml:space="preserve">Обозрение армии и флота</t>
  </si>
  <si>
    <t xml:space="preserve">1230358PO</t>
  </si>
  <si>
    <t xml:space="preserve">Оборонный комплекс - научно-техническому прогрессу </t>
  </si>
  <si>
    <t xml:space="preserve">1263981PO</t>
  </si>
  <si>
    <t xml:space="preserve">  ФГУП НТЦ оборонного комплекса "Компас"</t>
  </si>
  <si>
    <t xml:space="preserve">Оборудование и технологии для нефтегазового комплекса</t>
  </si>
  <si>
    <t xml:space="preserve">1242714PO</t>
  </si>
  <si>
    <t xml:space="preserve">Образование и общество</t>
  </si>
  <si>
    <t xml:space="preserve">Образование. Наука. Научные кадры</t>
  </si>
  <si>
    <t xml:space="preserve">1215270PO</t>
  </si>
  <si>
    <t xml:space="preserve">Образовательные технологии</t>
  </si>
  <si>
    <t xml:space="preserve">1231736PO</t>
  </si>
  <si>
    <t xml:space="preserve">ОБРУЧ. Образование:ребенок и ученик</t>
  </si>
  <si>
    <t xml:space="preserve">ООО "Издательство "Линка-Пресс"</t>
  </si>
  <si>
    <t xml:space="preserve">Обсерватория культуры</t>
  </si>
  <si>
    <t xml:space="preserve">946308PO</t>
  </si>
  <si>
    <t xml:space="preserve">Общепит: бизнес и искусство</t>
  </si>
  <si>
    <t xml:space="preserve">1306910PO</t>
  </si>
  <si>
    <t xml:space="preserve">Общественные науки и современность</t>
  </si>
  <si>
    <t xml:space="preserve">47616</t>
  </si>
  <si>
    <t xml:space="preserve">Web of Science</t>
  </si>
  <si>
    <t xml:space="preserve">Уникальное междисциплинарное издание. Публикуются статьи по политологии и социологии, философии и истории, культурологии и психологии, экономике и праву, региональным и этническим проблемам.</t>
  </si>
  <si>
    <t xml:space="preserve">Общество и экономика</t>
  </si>
  <si>
    <t xml:space="preserve">47620</t>
  </si>
  <si>
    <t xml:space="preserve">Научный и общественно-политический журнал, посвящен теоретическим проблемам перехода к рыночной экономике, современным социальным моделям общества, перспективам экономического сотрудничества, тенденциям глобализации.</t>
  </si>
  <si>
    <t xml:space="preserve">Овощеводство и тепличное хозяйство</t>
  </si>
  <si>
    <t xml:space="preserve">1308107PO</t>
  </si>
  <si>
    <t xml:space="preserve">Огарёв-Online</t>
  </si>
  <si>
    <t xml:space="preserve">Одаренный ребенок</t>
  </si>
  <si>
    <t xml:space="preserve">Одиссей: Человек в истории </t>
  </si>
  <si>
    <t xml:space="preserve">53255</t>
  </si>
  <si>
    <t xml:space="preserve">Популярный сборник, основанный в конце 1980-х годов группой известных российских историков во главе с крупнейшим исследователем европейского Средневековья Ароном ( для русской версии – А.Я.) Гуревичем. Интересы авторов сборника, среди которых и представители зарубежной науки, сосредоточены на методологических вопросах исторического анализа, а также на межцивилизационных и межнациональных контактах.</t>
  </si>
  <si>
    <t xml:space="preserve">Ожирение и метаболизм</t>
  </si>
  <si>
    <t xml:space="preserve">1136258PO</t>
  </si>
  <si>
    <t xml:space="preserve">Российская ассоциация эндокринологов</t>
  </si>
  <si>
    <t xml:space="preserve">Океанология</t>
  </si>
  <si>
    <t xml:space="preserve">1183596PO</t>
  </si>
  <si>
    <t xml:space="preserve">Онкогематология</t>
  </si>
  <si>
    <t xml:space="preserve">Онкология сегодня</t>
  </si>
  <si>
    <t xml:space="preserve">Онкология. Журнал имени П.А.Герцена</t>
  </si>
  <si>
    <t xml:space="preserve">1295896PO</t>
  </si>
  <si>
    <t xml:space="preserve">Онкопатология</t>
  </si>
  <si>
    <t xml:space="preserve">Онкоурология (журнал)</t>
  </si>
  <si>
    <t xml:space="preserve">Онтогенез</t>
  </si>
  <si>
    <t xml:space="preserve">1214215PO</t>
  </si>
  <si>
    <t xml:space="preserve">Онтология проектирования</t>
  </si>
  <si>
    <t xml:space="preserve">1353276PO</t>
  </si>
  <si>
    <t xml:space="preserve">Оперативная хирургия и клиническая анатомия (Пироговский научный журнал)</t>
  </si>
  <si>
    <t xml:space="preserve">1295900PO</t>
  </si>
  <si>
    <t xml:space="preserve">Оперативное управление в электроэнергетике: подготовка персонала и поддержание его квалификации</t>
  </si>
  <si>
    <t xml:space="preserve">Оптика атмосферы и океана</t>
  </si>
  <si>
    <t xml:space="preserve">980765PO</t>
  </si>
  <si>
    <t xml:space="preserve">Оптика и спектроскопия</t>
  </si>
  <si>
    <t xml:space="preserve">1183598PO</t>
  </si>
  <si>
    <t xml:space="preserve">Оптический журнал</t>
  </si>
  <si>
    <t xml:space="preserve">ФГАОУ ВО «Национальный исследовательский университет ИТМО»</t>
  </si>
  <si>
    <t xml:space="preserve">Опухоли головы и шеи</t>
  </si>
  <si>
    <t xml:space="preserve">Опухоли женской репродуктивной системы</t>
  </si>
  <si>
    <t xml:space="preserve">ОРГЗДРАВ: новости, мнения,  обучение</t>
  </si>
  <si>
    <t xml:space="preserve">1270439PO</t>
  </si>
  <si>
    <t xml:space="preserve">Ориенталистика</t>
  </si>
  <si>
    <t xml:space="preserve">Основания, фундаменты и механика грунтов</t>
  </si>
  <si>
    <t xml:space="preserve">1353196PO</t>
  </si>
  <si>
    <t xml:space="preserve">ООО "ИД "ЭСТ"</t>
  </si>
  <si>
    <t xml:space="preserve">Основы безопасности жизнедеятельности</t>
  </si>
  <si>
    <t xml:space="preserve">1278871PO</t>
  </si>
  <si>
    <t xml:space="preserve">Отечественная геология</t>
  </si>
  <si>
    <t xml:space="preserve">1232652PO</t>
  </si>
  <si>
    <t xml:space="preserve">Отечественная философия</t>
  </si>
  <si>
    <t xml:space="preserve">Отечественные архивы</t>
  </si>
  <si>
    <t xml:space="preserve">53092</t>
  </si>
  <si>
    <t xml:space="preserve">АНО"Редакция журнала"Отечественные архивы"</t>
  </si>
  <si>
    <t xml:space="preserve">В журнале публикуются: нормативные акты (или информация о них), регламентирующие деятельность российских архивов; статьи по проблемам экспертизы ценности и отбора документов, обеспечения их сохранности и организации использования, включая порядок доступа к архивным документам и работы читальных залов; документы из архивов России и зарубежных стран, отражающие события отечественной истории; информация о важнейших событиях архивной жизни в стране.</t>
  </si>
  <si>
    <t xml:space="preserve">Отечественный журнал социальной работы</t>
  </si>
  <si>
    <t xml:space="preserve">1290587PO</t>
  </si>
  <si>
    <t xml:space="preserve">Открытые системы. СУБД</t>
  </si>
  <si>
    <t xml:space="preserve">988625PO</t>
  </si>
  <si>
    <t xml:space="preserve">Оториноларингология Восточная Европа</t>
  </si>
  <si>
    <t xml:space="preserve">987355PO</t>
  </si>
  <si>
    <t xml:space="preserve">Офтальмология Восточная Европа</t>
  </si>
  <si>
    <t xml:space="preserve">987352PO</t>
  </si>
  <si>
    <t xml:space="preserve">Охрана труда и пожарная безопасность в учреждениях здравоохранения</t>
  </si>
  <si>
    <t xml:space="preserve">1325591PO</t>
  </si>
  <si>
    <t xml:space="preserve">Охрана труда и пожарная безопасность образовательных учреждений</t>
  </si>
  <si>
    <t xml:space="preserve">1325589PO</t>
  </si>
  <si>
    <t xml:space="preserve">Охрана труда и техника безопасности в сельском хозяйстве</t>
  </si>
  <si>
    <t xml:space="preserve">1308110PO</t>
  </si>
  <si>
    <t xml:space="preserve">Охрана труда и техника безопасности в строительстве</t>
  </si>
  <si>
    <t xml:space="preserve">Охрана труда и техника безопасности на автотранспортных предприятиях и в транспортных цехах</t>
  </si>
  <si>
    <t xml:space="preserve">Охрана труда и техника безопасности на промышленных предприятиях</t>
  </si>
  <si>
    <t xml:space="preserve">1266516PO</t>
  </si>
  <si>
    <t xml:space="preserve">Охрана труда на производстве</t>
  </si>
  <si>
    <t xml:space="preserve">Охрана труда: регулирование и практика</t>
  </si>
  <si>
    <t xml:space="preserve">Палеонтологический журнал</t>
  </si>
  <si>
    <t xml:space="preserve">1183599PO</t>
  </si>
  <si>
    <t xml:space="preserve">Паллиативная медицина и реабилитация</t>
  </si>
  <si>
    <t xml:space="preserve">1280630PO</t>
  </si>
  <si>
    <t xml:space="preserve">БФ "Вместе мы можем"</t>
  </si>
  <si>
    <t xml:space="preserve">Паразитология</t>
  </si>
  <si>
    <t xml:space="preserve">1183600PO</t>
  </si>
  <si>
    <t xml:space="preserve">Парикмажер-стилист-визажист</t>
  </si>
  <si>
    <t xml:space="preserve">Парламентская газета</t>
  </si>
  <si>
    <t xml:space="preserve">12689</t>
  </si>
  <si>
    <t xml:space="preserve">Еженедельная газета, орган Федерального Собрания Российской Федерации. Наряду с материалами общего содержания и подробной информацией о деятельности российского парламента публикует законы и постановления, принимаемые Государственной Думой и Советом Федерации.</t>
  </si>
  <si>
    <t xml:space="preserve">Патогенез</t>
  </si>
  <si>
    <t xml:space="preserve">1220036PO</t>
  </si>
  <si>
    <t xml:space="preserve">Патологическая физиология и экспериментальная терапия</t>
  </si>
  <si>
    <t xml:space="preserve">1220039PO</t>
  </si>
  <si>
    <t xml:space="preserve">Пациентоориентированная медицина и фармация </t>
  </si>
  <si>
    <t xml:space="preserve">Педагогика</t>
  </si>
  <si>
    <t xml:space="preserve">12824</t>
  </si>
  <si>
    <t xml:space="preserve">ООО "Педагогика"</t>
  </si>
  <si>
    <t xml:space="preserve">Журнал по проблемам образования, воспитания и преподавания. Предназначен как для теоретиков образования, так и для практикующих педагогов.</t>
  </si>
  <si>
    <t xml:space="preserve">Педагогика и психология образования</t>
  </si>
  <si>
    <t xml:space="preserve">1189684PO</t>
  </si>
  <si>
    <t xml:space="preserve">Педагогика. Вопросы теории и практики</t>
  </si>
  <si>
    <t xml:space="preserve">1328741PO</t>
  </si>
  <si>
    <t xml:space="preserve">ООО "Издательство "Грамота"</t>
  </si>
  <si>
    <t xml:space="preserve">Тамбов</t>
  </si>
  <si>
    <t xml:space="preserve">Педагогические измерения</t>
  </si>
  <si>
    <t xml:space="preserve">908115PO</t>
  </si>
  <si>
    <t xml:space="preserve">В журнале публикуются:
Статьи российских и зарубежных авторов по:
    педагогической теории и методике измерения;
    статистическим методам разработки педагогических тестов;
    математическим моделям педагогических измерений;
применению тестовых форм автоматизированного контроля знаний и т.д.</t>
  </si>
  <si>
    <t xml:space="preserve">Педагогические технологии</t>
  </si>
  <si>
    <t xml:space="preserve">1231738PO</t>
  </si>
  <si>
    <t xml:space="preserve">Педагогическое образование в России</t>
  </si>
  <si>
    <t xml:space="preserve">931987PO</t>
  </si>
  <si>
    <t xml:space="preserve">Педагогическое образование и наука</t>
  </si>
  <si>
    <t xml:space="preserve">915482PO</t>
  </si>
  <si>
    <t xml:space="preserve">Научно-методический журнал  «Педагогическое образование и наука» издается с 2000 года, содержит научные  и научно-методические материалы в области образования, педагогики, психологии, гуманитарных наук. Авторами опубликованных материалов являются ведущие ученые Российской Федерации, Ближнего и Дальнего зарубежья.</t>
  </si>
  <si>
    <t xml:space="preserve">Педиатрическая фармакология</t>
  </si>
  <si>
    <t xml:space="preserve">1214214PO</t>
  </si>
  <si>
    <t xml:space="preserve">Педиатрия Восточная Европа</t>
  </si>
  <si>
    <t xml:space="preserve">987353PO</t>
  </si>
  <si>
    <t xml:space="preserve">Педиатрия сегодня</t>
  </si>
  <si>
    <t xml:space="preserve">4(7)</t>
  </si>
  <si>
    <t xml:space="preserve">Педиатрия. Журнал имени Г.Н. Сперанского</t>
  </si>
  <si>
    <t xml:space="preserve">50062</t>
  </si>
  <si>
    <t xml:space="preserve">ООО "Педиатрия"</t>
  </si>
  <si>
    <t xml:space="preserve">Журнал публикует материалы по всем вопросам педиатрии, организации медицинской помощи детям, достижениях педиатрии в России и за рубежом.</t>
  </si>
  <si>
    <t xml:space="preserve">ПЕРВАЯ МИЛЯ LAST MILE</t>
  </si>
  <si>
    <t xml:space="preserve">1258660PO</t>
  </si>
  <si>
    <t xml:space="preserve">Первобытная археология. Журнал междисциплинарных исследований. (ПАЖМИ)</t>
  </si>
  <si>
    <t xml:space="preserve">ФГБУН Институт истории материальной культуры Российской академии наук (ИИМК РАН) </t>
  </si>
  <si>
    <t xml:space="preserve">Персональные данные: регулирование и практика (ранее Управление персональными данными)</t>
  </si>
  <si>
    <t xml:space="preserve">Перспективные материалы</t>
  </si>
  <si>
    <t xml:space="preserve">ООО "Интерконтакт Наука"</t>
  </si>
  <si>
    <t xml:space="preserve">Петрология</t>
  </si>
  <si>
    <t xml:space="preserve">1183675PO</t>
  </si>
  <si>
    <t xml:space="preserve">Письма в Астрономический журнал: Астрономия и космическая астрофизика</t>
  </si>
  <si>
    <t xml:space="preserve">1183685PO</t>
  </si>
  <si>
    <t xml:space="preserve">Письма в журнал технической физики</t>
  </si>
  <si>
    <t xml:space="preserve">1183686PO</t>
  </si>
  <si>
    <t xml:space="preserve">Письма в Журнал экспериментальной и теоретической физики</t>
  </si>
  <si>
    <t xml:space="preserve">1183687PO</t>
  </si>
  <si>
    <t xml:space="preserve">Пищевые системы</t>
  </si>
  <si>
    <t xml:space="preserve">1244911PO</t>
  </si>
  <si>
    <t xml:space="preserve">Федеральный научный центр пищевых систем им. В.М. Горбатова РАН</t>
  </si>
  <si>
    <t xml:space="preserve">Планово-экономический отдел</t>
  </si>
  <si>
    <t xml:space="preserve">1284593PO</t>
  </si>
  <si>
    <t xml:space="preserve">Пластическая хирургия и эстетическая медицина</t>
  </si>
  <si>
    <t xml:space="preserve">1295903PO</t>
  </si>
  <si>
    <t xml:space="preserve">Плодородие</t>
  </si>
  <si>
    <t xml:space="preserve">1317041PO</t>
  </si>
  <si>
    <t xml:space="preserve">ООО "Плодородие"</t>
  </si>
  <si>
    <t xml:space="preserve">Поверхность. Рентгеновские, синхротронные и нейтронные исследования</t>
  </si>
  <si>
    <t xml:space="preserve">1183688PO</t>
  </si>
  <si>
    <t xml:space="preserve">Поддерживающая терапия в онкологии</t>
  </si>
  <si>
    <t xml:space="preserve">Подъемно-транспортная техника</t>
  </si>
  <si>
    <t xml:space="preserve">1346820P</t>
  </si>
  <si>
    <t xml:space="preserve">Пожарная безопасность</t>
  </si>
  <si>
    <t xml:space="preserve">1242637PO</t>
  </si>
  <si>
    <t xml:space="preserve">ФГБУ ВНИИИПО МЧС России</t>
  </si>
  <si>
    <t xml:space="preserve">Пожарная безопасность зданий и объектов</t>
  </si>
  <si>
    <t xml:space="preserve">Пожарное дело</t>
  </si>
  <si>
    <t xml:space="preserve">1278868PO</t>
  </si>
  <si>
    <t xml:space="preserve">Пожарный надзор</t>
  </si>
  <si>
    <t xml:space="preserve">Пожаровзрывобезопасность</t>
  </si>
  <si>
    <t xml:space="preserve">1240863PO</t>
  </si>
  <si>
    <t xml:space="preserve">Поиск. Еженедельная газета научного сообщества</t>
  </si>
  <si>
    <t xml:space="preserve">997699PO</t>
  </si>
  <si>
    <t xml:space="preserve">«ПОИСК» - еженедельная газета для профессионалов в области научной и преподавательской деятельности, информационных технологий, а так же специалистов по управлению в сфере науки и образования.</t>
  </si>
  <si>
    <t xml:space="preserve">Полевой журнал биолога</t>
  </si>
  <si>
    <t xml:space="preserve">Полилингвиальность и транскультурные практики</t>
  </si>
  <si>
    <t xml:space="preserve">1357745PO</t>
  </si>
  <si>
    <t xml:space="preserve">Полимерные материалы и технологии</t>
  </si>
  <si>
    <t xml:space="preserve">1214012PO</t>
  </si>
  <si>
    <t xml:space="preserve">ИММС НАН Беларуси</t>
  </si>
  <si>
    <t xml:space="preserve">ПОЛИС. Политические исследования</t>
  </si>
  <si>
    <t xml:space="preserve">12827</t>
  </si>
  <si>
    <t xml:space="preserve">Некоммерческое партнерство «Редакция журнала «Полис»</t>
  </si>
  <si>
    <t xml:space="preserve">Академический журнал по политическим наукам. Публикации, посвященные современной ситуации в России, экскурсы в историю страны, зарубежный опыт.</t>
  </si>
  <si>
    <t xml:space="preserve">Политическая лингвистика</t>
  </si>
  <si>
    <t xml:space="preserve">938130PO</t>
  </si>
  <si>
    <t xml:space="preserve">Политическая наука</t>
  </si>
  <si>
    <t xml:space="preserve">1305034PO</t>
  </si>
  <si>
    <t xml:space="preserve">Политическая экспертиза: Политэкс</t>
  </si>
  <si>
    <t xml:space="preserve">1306200PO</t>
  </si>
  <si>
    <t xml:space="preserve">Полный комплект подписных изданий для ДОУ: - Воспитатель ДОУ; - Логопед; - Управление ДОУ; - Инструктор по физкультуре; - Дошкольное воспитание; - Музыкальный руководитель; - Методист ДОУ (ВЫХОДИТ В СОСТАВЕ КОМПЛЕКТА 2 выхода)</t>
  </si>
  <si>
    <t xml:space="preserve">Полупроводниковая светотехника</t>
  </si>
  <si>
    <t xml:space="preserve">1234337PO</t>
  </si>
  <si>
    <t xml:space="preserve">Понимашка</t>
  </si>
  <si>
    <t xml:space="preserve">986921PO</t>
  </si>
  <si>
    <t xml:space="preserve">ПортНьюс</t>
  </si>
  <si>
    <t xml:space="preserve">Постколониализм и современность</t>
  </si>
  <si>
    <t xml:space="preserve">Почвоведение</t>
  </si>
  <si>
    <t xml:space="preserve">1183690PO</t>
  </si>
  <si>
    <t xml:space="preserve">Правда</t>
  </si>
  <si>
    <t xml:space="preserve">14916</t>
  </si>
  <si>
    <t xml:space="preserve"> Официальный орган Коммунистической партии Российской Федерации.</t>
  </si>
  <si>
    <t xml:space="preserve">Право и образование </t>
  </si>
  <si>
    <t xml:space="preserve">1351403PO</t>
  </si>
  <si>
    <t xml:space="preserve">Право и управление. XXI век</t>
  </si>
  <si>
    <t xml:space="preserve">1271625PO</t>
  </si>
  <si>
    <t xml:space="preserve">Право и экономика</t>
  </si>
  <si>
    <t xml:space="preserve">Право. Журнал Высшей школы экономики</t>
  </si>
  <si>
    <t xml:space="preserve">1195788PO</t>
  </si>
  <si>
    <t xml:space="preserve">Правоведение  </t>
  </si>
  <si>
    <t xml:space="preserve">1259992PO</t>
  </si>
  <si>
    <t xml:space="preserve">Правоведение. Политология (Библиографические указатели)</t>
  </si>
  <si>
    <t xml:space="preserve">1304581PO</t>
  </si>
  <si>
    <t xml:space="preserve">Правовой порядок и правовые ценности</t>
  </si>
  <si>
    <t xml:space="preserve">Практика административной работы в школе</t>
  </si>
  <si>
    <t xml:space="preserve">1186688PO</t>
  </si>
  <si>
    <t xml:space="preserve">Практика исполнительного производства</t>
  </si>
  <si>
    <t xml:space="preserve">1186695PO</t>
  </si>
  <si>
    <t xml:space="preserve">ЗАО "Издательство "НОВЫЙ ИНДЕКС"</t>
  </si>
  <si>
    <t xml:space="preserve">Практика противокоррозийной защиты</t>
  </si>
  <si>
    <t xml:space="preserve">ООО "КАРТЭК"</t>
  </si>
  <si>
    <t xml:space="preserve">Практическая пульмонология</t>
  </si>
  <si>
    <t xml:space="preserve">987348PO</t>
  </si>
  <si>
    <t xml:space="preserve">Практический маркетинг</t>
  </si>
  <si>
    <t xml:space="preserve">1245137PO</t>
  </si>
  <si>
    <t xml:space="preserve">ООО "Агентство Би Си АЙ Маркетинг"</t>
  </si>
  <si>
    <t xml:space="preserve">Президент</t>
  </si>
  <si>
    <t xml:space="preserve">872959PO</t>
  </si>
  <si>
    <t xml:space="preserve">Преподавание истории в школе</t>
  </si>
  <si>
    <t xml:space="preserve">1280162PO</t>
  </si>
  <si>
    <t xml:space="preserve">АНО "Редакция журнала "Преподавание истории в школе"</t>
  </si>
  <si>
    <t xml:space="preserve">Преподавание истории и обществознания в школе с разделом "Экономика и право в школе"</t>
  </si>
  <si>
    <t xml:space="preserve">1257201PO</t>
  </si>
  <si>
    <t xml:space="preserve">Преподаватель XXI век</t>
  </si>
  <si>
    <t xml:space="preserve">1189675PO</t>
  </si>
  <si>
    <t xml:space="preserve">Приборы и методы измерений</t>
  </si>
  <si>
    <t xml:space="preserve">Приборы и техника эксперимента</t>
  </si>
  <si>
    <t xml:space="preserve">1183691PO</t>
  </si>
  <si>
    <t xml:space="preserve">Прикладная биохимия и микробиология</t>
  </si>
  <si>
    <t xml:space="preserve">1183692PO</t>
  </si>
  <si>
    <t xml:space="preserve">Прикладная дискретная математика</t>
  </si>
  <si>
    <t xml:space="preserve">Прикладная информатика</t>
  </si>
  <si>
    <t xml:space="preserve">999504PO</t>
  </si>
  <si>
    <t xml:space="preserve">Университет «Синергия»</t>
  </si>
  <si>
    <t xml:space="preserve">Прикладная математика &amp; Физика</t>
  </si>
  <si>
    <t xml:space="preserve">Прикладная математика и механика</t>
  </si>
  <si>
    <t xml:space="preserve">1183693PO</t>
  </si>
  <si>
    <t xml:space="preserve">Прикладная механика и техническая физика</t>
  </si>
  <si>
    <t xml:space="preserve">978423PO</t>
  </si>
  <si>
    <t xml:space="preserve">Журнал публикует оригинальные статьи и заказные обзоры по механике жидкости, газа, плазмы, динамике многофазных сред, физике и механике взрывных процессов, электрическому разряду, ударным волнам, состоянию и движению вещества при сверхвысоких параметрах, теплофизике, механике деформируемого твердого тела, композитным материалам, методам диагностики газодинамических физико-химических процессов.</t>
  </si>
  <si>
    <t xml:space="preserve">Прикладная эконометрика</t>
  </si>
  <si>
    <t xml:space="preserve">997701PO</t>
  </si>
  <si>
    <t xml:space="preserve">Приложение к журналу Дополнительное образование и воспитание</t>
  </si>
  <si>
    <t xml:space="preserve">1318458PO</t>
  </si>
  <si>
    <t xml:space="preserve">Природа</t>
  </si>
  <si>
    <t xml:space="preserve">1183694PO</t>
  </si>
  <si>
    <t xml:space="preserve">Пробелы в российском законодательстве</t>
  </si>
  <si>
    <t xml:space="preserve">978420PO</t>
  </si>
  <si>
    <t xml:space="preserve">Проблемы анализа риска</t>
  </si>
  <si>
    <t xml:space="preserve">1264468PO</t>
  </si>
  <si>
    <t xml:space="preserve">Акционерное общество "Финансовый издательский дом "Деловой экспресс"</t>
  </si>
  <si>
    <t xml:space="preserve">Проблемы ветеринарной санитарии, гигиены и экологии</t>
  </si>
  <si>
    <t xml:space="preserve">Проблемы Дальнего Востока</t>
  </si>
  <si>
    <t xml:space="preserve">13783</t>
  </si>
  <si>
    <t xml:space="preserve">Научный журнал, посвященный Китаю, Японии и в целом проблемам Азиатско-Тихоокеанского региона. Выпускается Институтом Дальнего Востока Академии наук.</t>
  </si>
  <si>
    <t xml:space="preserve">Проблемы истории, филологии, культуры</t>
  </si>
  <si>
    <t xml:space="preserve">Магнитогорск</t>
  </si>
  <si>
    <t xml:space="preserve">Проблемы машиностроения и надежности машин</t>
  </si>
  <si>
    <t xml:space="preserve">1183696PO</t>
  </si>
  <si>
    <t xml:space="preserve">Проблемы передачи информации</t>
  </si>
  <si>
    <t xml:space="preserve">1183698PO</t>
  </si>
  <si>
    <t xml:space="preserve">Проблемы прогнозирования</t>
  </si>
  <si>
    <t xml:space="preserve">53747</t>
  </si>
  <si>
    <t xml:space="preserve">Федеральное государственное бюджетное учреждение науки Институт народнохозяйственного прогнозирования Российской академии наук (ИНП РАН)</t>
  </si>
  <si>
    <t xml:space="preserve">В журнале анализируются варианты социально-экономического развития России, текущие, среднесрочные и долгосрочные прогнозы развития страны и ее отдельных регионов.</t>
  </si>
  <si>
    <t xml:space="preserve">Проблемы репродукции</t>
  </si>
  <si>
    <t xml:space="preserve">1284285PO</t>
  </si>
  <si>
    <t xml:space="preserve">Проблемы современного образования</t>
  </si>
  <si>
    <t xml:space="preserve">920956PO</t>
  </si>
  <si>
    <t xml:space="preserve">Рецензируемый научно-информационный журнал РАО «ПРОБЛЕМЫ СОВРЕМЕННОГО ОБРАЗОВАНИЯ» издается Научной педагогической библиотекой им. К.Д. Ушинского. Основные рубрики журнала:                   1. Модернизация российского образования.
2. Теория современного образования.
3. Новые исследования в образовании.
4. Инновационные технологии.
5. Наука и образование за рубежом.</t>
  </si>
  <si>
    <t xml:space="preserve">Проблемы социальной гигиены, здравоохранения и истории медицины</t>
  </si>
  <si>
    <t xml:space="preserve">53891</t>
  </si>
  <si>
    <t xml:space="preserve">Проблемы стоматологии</t>
  </si>
  <si>
    <t xml:space="preserve">Индивидуальный предприниматель Суворова Любовь Владимировна</t>
  </si>
  <si>
    <t xml:space="preserve">Проблемы управления</t>
  </si>
  <si>
    <t xml:space="preserve">1213060PO</t>
  </si>
  <si>
    <t xml:space="preserve">ФГБУН Институт проблем управления им. В.А. Трапезникова РАН.</t>
  </si>
  <si>
    <t xml:space="preserve">Проблемы цивилизационного развития</t>
  </si>
  <si>
    <t xml:space="preserve">Проблемы экономики и управления нефтегазовым комплексoм</t>
  </si>
  <si>
    <t xml:space="preserve">1242727PO</t>
  </si>
  <si>
    <t xml:space="preserve">Проблемы экономики и юридической практики</t>
  </si>
  <si>
    <t xml:space="preserve">1189536PO</t>
  </si>
  <si>
    <t xml:space="preserve">Проблемы эндокринологии</t>
  </si>
  <si>
    <t xml:space="preserve">1284286PO</t>
  </si>
  <si>
    <t xml:space="preserve">Программирование</t>
  </si>
  <si>
    <t xml:space="preserve">1183699PO</t>
  </si>
  <si>
    <t xml:space="preserve">Программная инженерия</t>
  </si>
  <si>
    <t xml:space="preserve">1280263PO</t>
  </si>
  <si>
    <t xml:space="preserve">Программные продукты и системы</t>
  </si>
  <si>
    <t xml:space="preserve">997716PO</t>
  </si>
  <si>
    <t xml:space="preserve">Редакция журнала "Программные продукты и системы"</t>
  </si>
  <si>
    <t xml:space="preserve">Программные системы: теория и приложения</t>
  </si>
  <si>
    <t xml:space="preserve">Федеральное государственное бюджетное учреждение науки Институт программных систем им. А.К. Айламазяна Российской академии наук </t>
  </si>
  <si>
    <t xml:space="preserve">Переславль-Залесский</t>
  </si>
  <si>
    <t xml:space="preserve">UDB-OA-STE</t>
  </si>
  <si>
    <t xml:space="preserve">Продовольственная политика и безопасность</t>
  </si>
  <si>
    <t xml:space="preserve">1222277PO</t>
  </si>
  <si>
    <t xml:space="preserve">Проектные и изыскательские работы в строительстве</t>
  </si>
  <si>
    <t xml:space="preserve">Производство проката</t>
  </si>
  <si>
    <t xml:space="preserve">1193699PO</t>
  </si>
  <si>
    <t xml:space="preserve">Прокатное производство. Приложение к журналу "Технология металлов"</t>
  </si>
  <si>
    <t xml:space="preserve">1193701PO</t>
  </si>
  <si>
    <t xml:space="preserve">Промышленная безопасность и охрана труда</t>
  </si>
  <si>
    <t xml:space="preserve">Промышленная безопасность. Разъяснения. Вопросы и ответы</t>
  </si>
  <si>
    <t xml:space="preserve">1284591PO</t>
  </si>
  <si>
    <t xml:space="preserve">Промышленная безопасность: расследование инцидентов</t>
  </si>
  <si>
    <t xml:space="preserve">1335655PO</t>
  </si>
  <si>
    <t xml:space="preserve">Промышленная энергетика</t>
  </si>
  <si>
    <t xml:space="preserve">1334566PO</t>
  </si>
  <si>
    <t xml:space="preserve">Промышленное обозрение</t>
  </si>
  <si>
    <t xml:space="preserve">Пространственные данные: наука и технологии (Spatial Data: science, research and technology)</t>
  </si>
  <si>
    <t xml:space="preserve">Профессиональная библиотека работника социальной службы</t>
  </si>
  <si>
    <t xml:space="preserve">1290584PO</t>
  </si>
  <si>
    <t xml:space="preserve">Профилактическая медицина</t>
  </si>
  <si>
    <t xml:space="preserve">1295897PO</t>
  </si>
  <si>
    <t xml:space="preserve">Профиль</t>
  </si>
  <si>
    <t xml:space="preserve">12148</t>
  </si>
  <si>
    <t xml:space="preserve">Еженедельный иллюстрированный общеполитический журнал. Тщательно анализирует кадровые перестановки в правительстве, других властных структурах, корпорациях, банках и т.д., публикует очерки о видных политиках, предпринимателях, военачальниках и т.д.</t>
  </si>
  <si>
    <t xml:space="preserve">Профильная школа</t>
  </si>
  <si>
    <t xml:space="preserve">1290712PO</t>
  </si>
  <si>
    <t xml:space="preserve">Психиатрия</t>
  </si>
  <si>
    <t xml:space="preserve">50063</t>
  </si>
  <si>
    <t xml:space="preserve">Психиатрия, психотерапия и клиническая психология</t>
  </si>
  <si>
    <t xml:space="preserve">987356PO</t>
  </si>
  <si>
    <t xml:space="preserve">Психическое здоровье</t>
  </si>
  <si>
    <t xml:space="preserve">1220041PO</t>
  </si>
  <si>
    <t xml:space="preserve">Психологическая наука и образование</t>
  </si>
  <si>
    <t xml:space="preserve">1136559PO</t>
  </si>
  <si>
    <t xml:space="preserve">Психологический журнал</t>
  </si>
  <si>
    <t xml:space="preserve">13786</t>
  </si>
  <si>
    <t xml:space="preserve">Специализированный журнал Института психологии Академии наук, Посвящен проблемам детской психологии и психологии личности, методологии и теории психологической науки, психотерапии, социальной психологии.</t>
  </si>
  <si>
    <t xml:space="preserve">Психология и педагогика служебной деятельности</t>
  </si>
  <si>
    <t xml:space="preserve">1215289PO</t>
  </si>
  <si>
    <t xml:space="preserve">Психология и право</t>
  </si>
  <si>
    <t xml:space="preserve">1136563PO</t>
  </si>
  <si>
    <t xml:space="preserve">Психология обучения</t>
  </si>
  <si>
    <t xml:space="preserve">1351415PO</t>
  </si>
  <si>
    <t xml:space="preserve">Психология. Журнал Высшей школы экономики</t>
  </si>
  <si>
    <t xml:space="preserve">1195786PO</t>
  </si>
  <si>
    <t xml:space="preserve">Психотерапия</t>
  </si>
  <si>
    <t xml:space="preserve">1220042PO</t>
  </si>
  <si>
    <t xml:space="preserve">Публичное и частное право</t>
  </si>
  <si>
    <t xml:space="preserve">Публичное право сегодня</t>
  </si>
  <si>
    <t xml:space="preserve">Фонд «Центр публичного права»</t>
  </si>
  <si>
    <t xml:space="preserve">Пульмонология</t>
  </si>
  <si>
    <t xml:space="preserve">1269288PO</t>
  </si>
  <si>
    <t xml:space="preserve">ООО "Научно-практический журнал "Пульмонология"</t>
  </si>
  <si>
    <t xml:space="preserve">Путь и путевое хозяйство</t>
  </si>
  <si>
    <t xml:space="preserve">Работник социальной службы</t>
  </si>
  <si>
    <t xml:space="preserve">1290583PO</t>
  </si>
  <si>
    <t xml:space="preserve">Радиационная биология</t>
  </si>
  <si>
    <t xml:space="preserve">1183700PO</t>
  </si>
  <si>
    <t xml:space="preserve">Радиотехника</t>
  </si>
  <si>
    <t xml:space="preserve">1308072PO</t>
  </si>
  <si>
    <t xml:space="preserve">Радиотехника и электроника</t>
  </si>
  <si>
    <t xml:space="preserve">1183701PO</t>
  </si>
  <si>
    <t xml:space="preserve">Радиохимия</t>
  </si>
  <si>
    <t xml:space="preserve">1183702PO</t>
  </si>
  <si>
    <t xml:space="preserve">Расплавы </t>
  </si>
  <si>
    <t xml:space="preserve">1183703PO</t>
  </si>
  <si>
    <t xml:space="preserve">Расследование преступлений: проблемы и пути их решения. Сборник научно-практических трудов</t>
  </si>
  <si>
    <t xml:space="preserve">Растительные ресурсы</t>
  </si>
  <si>
    <t xml:space="preserve">1183704PO</t>
  </si>
  <si>
    <t xml:space="preserve">Растительный мир Азиатской России</t>
  </si>
  <si>
    <t xml:space="preserve">1214008PO</t>
  </si>
  <si>
    <t xml:space="preserve">РБК</t>
  </si>
  <si>
    <t xml:space="preserve">837173PO</t>
  </si>
  <si>
    <t xml:space="preserve">РБК Daily</t>
  </si>
  <si>
    <t xml:space="preserve">953803PO</t>
  </si>
  <si>
    <t xml:space="preserve">Реальная клиническая практика: данные и доказательства </t>
  </si>
  <si>
    <t xml:space="preserve">Регион: экономика и социология</t>
  </si>
  <si>
    <t xml:space="preserve">980830PO</t>
  </si>
  <si>
    <t xml:space="preserve">Регион:системы, экономика, управление</t>
  </si>
  <si>
    <t xml:space="preserve">1267071PO</t>
  </si>
  <si>
    <t xml:space="preserve">Региональная экономика: теория и практика</t>
  </si>
  <si>
    <t xml:space="preserve">980256PO</t>
  </si>
  <si>
    <t xml:space="preserve">В журнале освещаются проблемы экономики и развития административно-территориальных образований, отраслей и производств; экономическая стратегия устойчивого развития РФ и её регионов, экономическая безопасность регионов, социальные вопросы, образование, культура, здравоохранение, экология и природопользование, развитие инфраструктуры; вопросы народонаселения и демографии.</t>
  </si>
  <si>
    <t xml:space="preserve">Региональные геосистемы</t>
  </si>
  <si>
    <t xml:space="preserve">Региональный туризм: проекты, инвестиции, тенденции </t>
  </si>
  <si>
    <t xml:space="preserve">1187963PO</t>
  </si>
  <si>
    <t xml:space="preserve">Регионология</t>
  </si>
  <si>
    <t xml:space="preserve">Ректор вуза</t>
  </si>
  <si>
    <t xml:space="preserve">1245016PO</t>
  </si>
  <si>
    <t xml:space="preserve">Релейная защита и автоматизация</t>
  </si>
  <si>
    <t xml:space="preserve">Общество с ограниченной ответственностью «Рекламно-издательский центр «Содействие развитию релейной защиты, автоматики и управления в электроэнергетике»</t>
  </si>
  <si>
    <t xml:space="preserve">Религиоведение (Библиографические указатели)</t>
  </si>
  <si>
    <t xml:space="preserve">1304989PO</t>
  </si>
  <si>
    <t xml:space="preserve">Ремедиум</t>
  </si>
  <si>
    <t xml:space="preserve">825154PO</t>
  </si>
  <si>
    <t xml:space="preserve">Ремонт, восстановление, модернизация</t>
  </si>
  <si>
    <t xml:space="preserve">1193698PO</t>
  </si>
  <si>
    <t xml:space="preserve">Репродуктивное здоровье Восточная Европа</t>
  </si>
  <si>
    <t xml:space="preserve">987357PO</t>
  </si>
  <si>
    <t xml:space="preserve">Репродуктивное здоровье детей и подростков</t>
  </si>
  <si>
    <t xml:space="preserve">1270442PO</t>
  </si>
  <si>
    <t xml:space="preserve">Рецепт</t>
  </si>
  <si>
    <t xml:space="preserve">987358PO</t>
  </si>
  <si>
    <t xml:space="preserve">Риск-менеджмент. Практика</t>
  </si>
  <si>
    <t xml:space="preserve">Родина</t>
  </si>
  <si>
    <t xml:space="preserve">1220021PO</t>
  </si>
  <si>
    <t xml:space="preserve">АО «Издательство «Российская газета»</t>
  </si>
  <si>
    <t xml:space="preserve">Роман-газета</t>
  </si>
  <si>
    <t xml:space="preserve">1322066PO</t>
  </si>
  <si>
    <t xml:space="preserve">Российская археология</t>
  </si>
  <si>
    <t xml:space="preserve">47623</t>
  </si>
  <si>
    <t xml:space="preserve">Ведущий археологический журнал Академии наук. Публикует результаты археологических раскопок, проводящихся российскими учеными на территории страны и за рубежом, теоретические статьи, информацию о научной жизни.</t>
  </si>
  <si>
    <t xml:space="preserve">Российская газета</t>
  </si>
  <si>
    <t xml:space="preserve">12244</t>
  </si>
  <si>
    <t xml:space="preserve">АО "Издательство "Российская газета"</t>
  </si>
  <si>
    <t xml:space="preserve">Ежедневная газета, официальный орган правительства России. Это единственное издание, уполномоченное первым публиковать новые законы и законодательные акты, после чего они вступают в силу. Включен также еженедельный выпуск.</t>
  </si>
  <si>
    <t xml:space="preserve">Российская история</t>
  </si>
  <si>
    <t xml:space="preserve">822074PO</t>
  </si>
  <si>
    <t xml:space="preserve">Бывшая "Отечественная история" (до января 2009 г.). Научный журнал, публикующий материалы и исследования по истории России.</t>
  </si>
  <si>
    <t xml:space="preserve">Российская ринология</t>
  </si>
  <si>
    <t xml:space="preserve">1290637PO</t>
  </si>
  <si>
    <t xml:space="preserve">Российская сельскохозяйственная наука</t>
  </si>
  <si>
    <t xml:space="preserve">1263156PO</t>
  </si>
  <si>
    <t xml:space="preserve">Российская стоматология</t>
  </si>
  <si>
    <t xml:space="preserve">1295898PO</t>
  </si>
  <si>
    <t xml:space="preserve">Российская Федерация сегодня</t>
  </si>
  <si>
    <t xml:space="preserve">837170PO</t>
  </si>
  <si>
    <t xml:space="preserve">Публикации о государственном строительстве в РФ, о проблемах федеративных отношений, законотворческой деятельности всех уровней и местном самоуправлении.</t>
  </si>
  <si>
    <t xml:space="preserve">Российская экономика: прогнозы и тенденции</t>
  </si>
  <si>
    <t xml:space="preserve">52928</t>
  </si>
  <si>
    <t xml:space="preserve">Российская юстиция</t>
  </si>
  <si>
    <t xml:space="preserve">Автономная некоммерческая организация Редакция журнала "Судья"</t>
  </si>
  <si>
    <t xml:space="preserve">Российские аптеки</t>
  </si>
  <si>
    <t xml:space="preserve">825155PO</t>
  </si>
  <si>
    <t xml:space="preserve">Профессиональный журнал для провизоров и фармацевтов. Информация о том, как формировать ассортимент лекарственных средств, как строить отношения с поставщиками, ценовая политика и т.д.</t>
  </si>
  <si>
    <t xml:space="preserve">Российские нанотехнологии</t>
  </si>
  <si>
    <t xml:space="preserve">867852PO</t>
  </si>
  <si>
    <t xml:space="preserve">Российский биотерапевтический журнал</t>
  </si>
  <si>
    <t xml:space="preserve">Российский вестник акушера-гинеколога</t>
  </si>
  <si>
    <t xml:space="preserve">1284288PO</t>
  </si>
  <si>
    <t xml:space="preserve">Российский вестник перинатологии и педиатрии</t>
  </si>
  <si>
    <t xml:space="preserve">1138247PO</t>
  </si>
  <si>
    <t xml:space="preserve">Национальная педиатрическая академия науки и инноваций</t>
  </si>
  <si>
    <t xml:space="preserve">Российский внешнеэкономический вестник</t>
  </si>
  <si>
    <t xml:space="preserve">1349625PO</t>
  </si>
  <si>
    <t xml:space="preserve">
ВАВТ Минэкономразвития России
</t>
  </si>
  <si>
    <t xml:space="preserve">Российский журнал боли</t>
  </si>
  <si>
    <t xml:space="preserve">Российский журнал менеджмента</t>
  </si>
  <si>
    <t xml:space="preserve">1186763PO</t>
  </si>
  <si>
    <t xml:space="preserve">Российский кардиологический журнал</t>
  </si>
  <si>
    <t xml:space="preserve">1278284PO</t>
  </si>
  <si>
    <t xml:space="preserve">Российский неврологический журнал</t>
  </si>
  <si>
    <t xml:space="preserve">1290642PO</t>
  </si>
  <si>
    <t xml:space="preserve">Российский педиатрический журнал</t>
  </si>
  <si>
    <t xml:space="preserve">Российский психиатрический журнал</t>
  </si>
  <si>
    <t xml:space="preserve">Российский физиологический журнал им. И.М. Сеченова</t>
  </si>
  <si>
    <t xml:space="preserve">1183706PO</t>
  </si>
  <si>
    <t xml:space="preserve">Российский химический журнал</t>
  </si>
  <si>
    <t xml:space="preserve">1295835PO</t>
  </si>
  <si>
    <t xml:space="preserve">Российский экономический журнал</t>
  </si>
  <si>
    <t xml:space="preserve">914932PO</t>
  </si>
  <si>
    <t xml:space="preserve">Аккредитованное образовательное частное учреждение высшего образования «Московский финансово-юридический университет МФЮА»</t>
  </si>
  <si>
    <t xml:space="preserve">Общеэкономическое научно-практическое издание, адресуемое ученым, преподавателям, аспирантам и студентам, всем категориям предпринимателей и менеджеров. Журнал всесторонне освещает ход реформы в России, пропагандирует современные экономические знания, содействует подготовке экономистов нового поколения – теоретиков и практиков.</t>
  </si>
  <si>
    <t xml:space="preserve">Российский юридический журнал</t>
  </si>
  <si>
    <t xml:space="preserve">980831PO</t>
  </si>
  <si>
    <t xml:space="preserve">Уральская государственная юридическая академия</t>
  </si>
  <si>
    <t xml:space="preserve">Российское конкурентное право и экономика</t>
  </si>
  <si>
    <t xml:space="preserve">1351297PO</t>
  </si>
  <si>
    <t xml:space="preserve">Учебно-методический центр ФАС России</t>
  </si>
  <si>
    <t xml:space="preserve">Россия в глобальной политике </t>
  </si>
  <si>
    <t xml:space="preserve">14702</t>
  </si>
  <si>
    <t xml:space="preserve">Россия и мусульманский мир</t>
  </si>
  <si>
    <t xml:space="preserve">1304577PO</t>
  </si>
  <si>
    <t xml:space="preserve">Россия и мусульманский мир (англ.)</t>
  </si>
  <si>
    <t xml:space="preserve">1305050PO</t>
  </si>
  <si>
    <t xml:space="preserve">Россия и современный мир</t>
  </si>
  <si>
    <t xml:space="preserve">1305048PO</t>
  </si>
  <si>
    <t xml:space="preserve">Руды и металлы</t>
  </si>
  <si>
    <t xml:space="preserve">1232651PO</t>
  </si>
  <si>
    <t xml:space="preserve">Русистика</t>
  </si>
  <si>
    <t xml:space="preserve">1353402PO</t>
  </si>
  <si>
    <t xml:space="preserve">Русская галерея - XXI век</t>
  </si>
  <si>
    <t xml:space="preserve">Русская литература</t>
  </si>
  <si>
    <t xml:space="preserve">13788</t>
  </si>
  <si>
    <t xml:space="preserve">Исследования и публикации по истории русской литературы.</t>
  </si>
  <si>
    <t xml:space="preserve">Русская речь</t>
  </si>
  <si>
    <t xml:space="preserve">13789</t>
  </si>
  <si>
    <t xml:space="preserve">Научно-популярный журнал, посвященный проблемам изучения языка художественной литературы, переводческой деятельности, такжи исследует взаимосвязи между литературами разных стран.</t>
  </si>
  <si>
    <t xml:space="preserve">Русская рыба. Вчера. Сегодня. Завтра</t>
  </si>
  <si>
    <t xml:space="preserve">ФГБУ «Главрыбвод»</t>
  </si>
  <si>
    <t xml:space="preserve">Русская словесность с разделом "Русский язык и литература для школьников"</t>
  </si>
  <si>
    <t xml:space="preserve">12830</t>
  </si>
  <si>
    <t xml:space="preserve">UDB-EDU, UDB-LST</t>
  </si>
  <si>
    <t xml:space="preserve">Русский журнал детской неврологии</t>
  </si>
  <si>
    <t xml:space="preserve">Русский язык в школе</t>
  </si>
  <si>
    <t xml:space="preserve">980829PO</t>
  </si>
  <si>
    <t xml:space="preserve">ООО "Наш язык"</t>
  </si>
  <si>
    <t xml:space="preserve">Русский язык за рубежом</t>
  </si>
  <si>
    <t xml:space="preserve">988612PO</t>
  </si>
  <si>
    <t xml:space="preserve">Рыбоводство и рыбное хозяйство</t>
  </si>
  <si>
    <t xml:space="preserve">1307947PO</t>
  </si>
  <si>
    <t xml:space="preserve">Садоводство и виноградарство</t>
  </si>
  <si>
    <t xml:space="preserve">994177PO</t>
  </si>
  <si>
    <t xml:space="preserve">Санитарный врач</t>
  </si>
  <si>
    <t xml:space="preserve">1267449PO</t>
  </si>
  <si>
    <t xml:space="preserve">Сантехника </t>
  </si>
  <si>
    <t xml:space="preserve">1193660PO</t>
  </si>
  <si>
    <t xml:space="preserve">Санэпидконтроль. Охрана труда</t>
  </si>
  <si>
    <t xml:space="preserve">1284595PO</t>
  </si>
  <si>
    <t xml:space="preserve">САПР и Графика</t>
  </si>
  <si>
    <t xml:space="preserve">ООО «КомпьютерПресс»</t>
  </si>
  <si>
    <t xml:space="preserve">Саркомы костей, мягких тканей и опухоли кожи</t>
  </si>
  <si>
    <t xml:space="preserve">Сахарная свекла</t>
  </si>
  <si>
    <t xml:space="preserve">1182072PO</t>
  </si>
  <si>
    <t xml:space="preserve">ООО редакция журнала "Сахарная свекла"</t>
  </si>
  <si>
    <t xml:space="preserve">Сахарный диабет</t>
  </si>
  <si>
    <t xml:space="preserve">1136256PO</t>
  </si>
  <si>
    <t xml:space="preserve">Сберегательное дело за рубежом</t>
  </si>
  <si>
    <t xml:space="preserve">Сборка в машиностроении, приборостроении </t>
  </si>
  <si>
    <t xml:space="preserve">1242510PO</t>
  </si>
  <si>
    <t xml:space="preserve">Сварка и диагностика</t>
  </si>
  <si>
    <t xml:space="preserve">1195322PO</t>
  </si>
  <si>
    <t xml:space="preserve">ООО "НАКС Медиа"</t>
  </si>
  <si>
    <t xml:space="preserve">Светотехника</t>
  </si>
  <si>
    <t xml:space="preserve">Свободная мысль</t>
  </si>
  <si>
    <t xml:space="preserve">54046</t>
  </si>
  <si>
    <t xml:space="preserve">Теоретический и политический журнал, посвящен изучению текущих и исторических проблем в развитии российского общества, реформам в России, играет роль своеобразной трибуны для обмена мнениями между политиками и учеными различной ориентации.</t>
  </si>
  <si>
    <t xml:space="preserve">Сеанс</t>
  </si>
  <si>
    <t xml:space="preserve">1306378PO</t>
  </si>
  <si>
    <t xml:space="preserve">ООО "Мастерская "Сеанс"</t>
  </si>
  <si>
    <t xml:space="preserve">Элегантное и респектабельное издание, одним из основополагающих принципов которого является исследование собственно кинематографических проблем в актуальном общекультурном контексте. Здесь высказываются все ведущие отечественные кинематографисты.</t>
  </si>
  <si>
    <t xml:space="preserve">Секретарское дело</t>
  </si>
  <si>
    <t xml:space="preserve">Однопользовательский, логин/пароль</t>
  </si>
  <si>
    <t xml:space="preserve">Секретарь-референт</t>
  </si>
  <si>
    <t xml:space="preserve">1284589PO</t>
  </si>
  <si>
    <t xml:space="preserve">Сельская жизнь</t>
  </si>
  <si>
    <t xml:space="preserve">ООО "Издательство "Сельская жизнь"</t>
  </si>
  <si>
    <t xml:space="preserve">Сельское хозяйство: инновации, стратегии, развитие</t>
  </si>
  <si>
    <t xml:space="preserve">Сельскохозяйственная техника:  обслуживание и ремонт</t>
  </si>
  <si>
    <t xml:space="preserve">1315989PO</t>
  </si>
  <si>
    <t xml:space="preserve">Сенсорные системы</t>
  </si>
  <si>
    <t xml:space="preserve">1183707PO</t>
  </si>
  <si>
    <t xml:space="preserve">Сервис plus</t>
  </si>
  <si>
    <t xml:space="preserve">1228156PO</t>
  </si>
  <si>
    <t xml:space="preserve">Сервис в России и за рубежом </t>
  </si>
  <si>
    <t xml:space="preserve">1322462PO</t>
  </si>
  <si>
    <t xml:space="preserve">Сестринское дело</t>
  </si>
  <si>
    <t xml:space="preserve">1318503PO</t>
  </si>
  <si>
    <t xml:space="preserve">Сибирские исторические исследования</t>
  </si>
  <si>
    <t xml:space="preserve">Сибирский вестник сельскохозяйственной науки</t>
  </si>
  <si>
    <t xml:space="preserve">СФНЦА РАН</t>
  </si>
  <si>
    <t xml:space="preserve">Краснообск</t>
  </si>
  <si>
    <t xml:space="preserve">Сибирский журнал вычислительной математики</t>
  </si>
  <si>
    <t xml:space="preserve">816199PO</t>
  </si>
  <si>
    <t xml:space="preserve">Единственный общероссийский журнал по вычислительной математике, издающийся за Уралом с привлечением авторов и рецензентов со всего СНГ.</t>
  </si>
  <si>
    <t xml:space="preserve">Сибирский журнал индустриальной математики</t>
  </si>
  <si>
    <t xml:space="preserve">Сибирский лесной журнал</t>
  </si>
  <si>
    <t xml:space="preserve">Сибирский математический журнал</t>
  </si>
  <si>
    <t xml:space="preserve">Сибирский психологический журнал</t>
  </si>
  <si>
    <t xml:space="preserve">Сибирский экологический журнал</t>
  </si>
  <si>
    <t xml:space="preserve">978501PO</t>
  </si>
  <si>
    <t xml:space="preserve">Журнал представляет собой мультидисциплинарное научное издание, освещающее широкий спектр вопросов экологии - науки о сложнейших взаимоотношениях живых организмов со средой.</t>
  </si>
  <si>
    <t xml:space="preserve">СибСкрипт</t>
  </si>
  <si>
    <t xml:space="preserve">Силовая электроника</t>
  </si>
  <si>
    <t xml:space="preserve">1234335PO</t>
  </si>
  <si>
    <t xml:space="preserve">Силовой остров</t>
  </si>
  <si>
    <t xml:space="preserve">ООО «ИНСМЕДИА»</t>
  </si>
  <si>
    <t xml:space="preserve">Систематические заметки по материалам Гербария им. П.Н. Крылова</t>
  </si>
  <si>
    <t xml:space="preserve">Системный администратор</t>
  </si>
  <si>
    <t xml:space="preserve">996907PO</t>
  </si>
  <si>
    <t xml:space="preserve">Системный анализ и прикладная информатика</t>
  </si>
  <si>
    <t xml:space="preserve">Системы безопасности</t>
  </si>
  <si>
    <t xml:space="preserve">1244619PO</t>
  </si>
  <si>
    <t xml:space="preserve">Системы высокой доступности</t>
  </si>
  <si>
    <t xml:space="preserve">1308073PO</t>
  </si>
  <si>
    <t xml:space="preserve">Системы качества. Стандартизация</t>
  </si>
  <si>
    <t xml:space="preserve">Скандинавская филология</t>
  </si>
  <si>
    <t xml:space="preserve">1195913PO</t>
  </si>
  <si>
    <t xml:space="preserve">Славяноведение</t>
  </si>
  <si>
    <t xml:space="preserve">13790</t>
  </si>
  <si>
    <t xml:space="preserve">Журнал Института славяноведения Академии наук, посвящен изучению славянских языков, литературы и истории.</t>
  </si>
  <si>
    <t xml:space="preserve">Слово</t>
  </si>
  <si>
    <t xml:space="preserve">12280</t>
  </si>
  <si>
    <t xml:space="preserve">АНО ИД "Слово"</t>
  </si>
  <si>
    <t xml:space="preserve">Служба PR</t>
  </si>
  <si>
    <t xml:space="preserve">Служба занятости</t>
  </si>
  <si>
    <t xml:space="preserve">Смена</t>
  </si>
  <si>
    <t xml:space="preserve">ООО "Издательский дом журнала "Смена"</t>
  </si>
  <si>
    <t xml:space="preserve">Сметно-договорная работа в строительстве</t>
  </si>
  <si>
    <t xml:space="preserve">Собрание законодательства РФ</t>
  </si>
  <si>
    <t xml:space="preserve">2005064PO</t>
  </si>
  <si>
    <t xml:space="preserve">Официальное издание, публикующее федеральные конституционные законы, федеральные законы, акты палат Федерального Собрания, указы и распоряжения Президента Российской Федерации, постановления и распоряжения Правительства Российской Федерации, постановления и определения Конституционного Суда Российской Федерации. Официальное опубликование в бюллетене правовых актов является основанием для вступления их в силу.</t>
  </si>
  <si>
    <t xml:space="preserve">Совершенно секретно</t>
  </si>
  <si>
    <t xml:space="preserve">837176PO</t>
  </si>
  <si>
    <t xml:space="preserve">ООО "Топсикрет Медиа"</t>
  </si>
  <si>
    <t xml:space="preserve">2009-2014,2020</t>
  </si>
  <si>
    <t xml:space="preserve">Советская Россия</t>
  </si>
  <si>
    <t xml:space="preserve">12439</t>
  </si>
  <si>
    <t xml:space="preserve">Московская газета, выражающая взгляды Компартии Российской Федерации.</t>
  </si>
  <si>
    <t xml:space="preserve">Советский спорт</t>
  </si>
  <si>
    <t xml:space="preserve">957556PO</t>
  </si>
  <si>
    <t xml:space="preserve">ООО "Редакция газеты Советский спорт"</t>
  </si>
  <si>
    <t xml:space="preserve">Советский спорт - Футбол</t>
  </si>
  <si>
    <t xml:space="preserve">1258778PO</t>
  </si>
  <si>
    <t xml:space="preserve">Современная библиотека</t>
  </si>
  <si>
    <t xml:space="preserve">996908PO</t>
  </si>
  <si>
    <t xml:space="preserve">ООО ИКЦ «Современная библиотека»</t>
  </si>
  <si>
    <t xml:space="preserve">Современная ветеринарная медицина</t>
  </si>
  <si>
    <t xml:space="preserve">1318534PO</t>
  </si>
  <si>
    <t xml:space="preserve">Современная герпетология</t>
  </si>
  <si>
    <t xml:space="preserve">1317272PO</t>
  </si>
  <si>
    <t xml:space="preserve">Современная Европа</t>
  </si>
  <si>
    <t xml:space="preserve">Современная зарубежная психология</t>
  </si>
  <si>
    <t xml:space="preserve">1136572PO</t>
  </si>
  <si>
    <t xml:space="preserve">Современная кардиология</t>
  </si>
  <si>
    <t xml:space="preserve">Современная конкуренция</t>
  </si>
  <si>
    <t xml:space="preserve">997236PO</t>
  </si>
  <si>
    <t xml:space="preserve">Современная лабораторная практика</t>
  </si>
  <si>
    <t xml:space="preserve">ООО «Профиль-2с»</t>
  </si>
  <si>
    <t xml:space="preserve">Современная Светотехника</t>
  </si>
  <si>
    <t xml:space="preserve">Современная стоматология</t>
  </si>
  <si>
    <t xml:space="preserve">Частное издательское унитарное предприятие «ЮпокомИнфоМед»</t>
  </si>
  <si>
    <t xml:space="preserve">Современная торговля</t>
  </si>
  <si>
    <t xml:space="preserve">1260174PO</t>
  </si>
  <si>
    <t xml:space="preserve">Современная электродинамика</t>
  </si>
  <si>
    <t xml:space="preserve">Федеральное государственное бюджетное учреждение науки Институт теоретической 
и прикладной электродинамики Российской академии наук </t>
  </si>
  <si>
    <t xml:space="preserve">Современное общество и право</t>
  </si>
  <si>
    <t xml:space="preserve">Современное педагогическое образование</t>
  </si>
  <si>
    <t xml:space="preserve">Современное право</t>
  </si>
  <si>
    <t xml:space="preserve">1186698PO</t>
  </si>
  <si>
    <t xml:space="preserve">Современное профессиональное образование</t>
  </si>
  <si>
    <t xml:space="preserve">Современные методы технической диагностики и неразрушающего контроля деталей и узлов </t>
  </si>
  <si>
    <t xml:space="preserve">Современные наукоемкие технологии. Региональное приложение</t>
  </si>
  <si>
    <t xml:space="preserve">Современные проблемы сервиса и туризма</t>
  </si>
  <si>
    <t xml:space="preserve">1322460PO</t>
  </si>
  <si>
    <t xml:space="preserve">Современные тенденции в строительстве, градостроительстве и планировке территорий</t>
  </si>
  <si>
    <t xml:space="preserve">Современный ресторан</t>
  </si>
  <si>
    <t xml:space="preserve">1306911PO</t>
  </si>
  <si>
    <t xml:space="preserve">Солидарность</t>
  </si>
  <si>
    <t xml:space="preserve">1196915PO</t>
  </si>
  <si>
    <t xml:space="preserve">ООО "Редакция газеты "Солидарность"</t>
  </si>
  <si>
    <t xml:space="preserve"> Нормативные акты, постановления и законы, комментарии к ним, организация деятельность профсоюзных структур, дискуссии по острейшим проблемам современности.</t>
  </si>
  <si>
    <t xml:space="preserve">Солнечно-земная физика</t>
  </si>
  <si>
    <t xml:space="preserve">1252335PO</t>
  </si>
  <si>
    <t xml:space="preserve">Социальная и клиническая психиатрия</t>
  </si>
  <si>
    <t xml:space="preserve">Социальная педагогика</t>
  </si>
  <si>
    <t xml:space="preserve">908190PO</t>
  </si>
  <si>
    <t xml:space="preserve">Социальная педагогика в России</t>
  </si>
  <si>
    <t xml:space="preserve">972845PO</t>
  </si>
  <si>
    <t xml:space="preserve">Социальная политика и социальное партнерство</t>
  </si>
  <si>
    <t xml:space="preserve">1266387PO</t>
  </si>
  <si>
    <t xml:space="preserve">Социальная психология и общество</t>
  </si>
  <si>
    <t xml:space="preserve">1136554PO</t>
  </si>
  <si>
    <t xml:space="preserve">Социально-гуманитарные знания</t>
  </si>
  <si>
    <t xml:space="preserve">987289PO</t>
  </si>
  <si>
    <t xml:space="preserve">Социальное обслуживание</t>
  </si>
  <si>
    <t xml:space="preserve">1290581PO</t>
  </si>
  <si>
    <t xml:space="preserve">Социально-политические науки</t>
  </si>
  <si>
    <t xml:space="preserve">978417PO</t>
  </si>
  <si>
    <t xml:space="preserve">Социально-экологические технологии</t>
  </si>
  <si>
    <t xml:space="preserve">1189686PO</t>
  </si>
  <si>
    <t xml:space="preserve">Социальные новации и социальные науки</t>
  </si>
  <si>
    <t xml:space="preserve">Социологические исследования</t>
  </si>
  <si>
    <t xml:space="preserve">47619</t>
  </si>
  <si>
    <t xml:space="preserve">Научный журнал публикует результаты социологических исследований, статистики, опросов общественного мнения и обобщающие теоретические статьи.</t>
  </si>
  <si>
    <t xml:space="preserve">Социология (Реферативный журнал)</t>
  </si>
  <si>
    <t xml:space="preserve">1305018PO</t>
  </si>
  <si>
    <t xml:space="preserve">Социология власти</t>
  </si>
  <si>
    <t xml:space="preserve">1267050PO</t>
  </si>
  <si>
    <t xml:space="preserve">Социология и право</t>
  </si>
  <si>
    <t xml:space="preserve">1303287PO</t>
  </si>
  <si>
    <t xml:space="preserve">Частное образовательное учреждение высшего образования «Санкт-Петербургский университет технологий управления и экономики»</t>
  </si>
  <si>
    <t xml:space="preserve">Социум и власть</t>
  </si>
  <si>
    <t xml:space="preserve">Спасатель МЧС России</t>
  </si>
  <si>
    <t xml:space="preserve">1278865PO</t>
  </si>
  <si>
    <t xml:space="preserve">Специальное образование</t>
  </si>
  <si>
    <t xml:space="preserve">943325PO</t>
  </si>
  <si>
    <t xml:space="preserve">Спортивная медицина:наука и практика</t>
  </si>
  <si>
    <t xml:space="preserve">1159498PO</t>
  </si>
  <si>
    <t xml:space="preserve">ФГАОУ ВО Первый Московский государственный медицинский университет имени И.М. Сеченова Министерства здравоохранения Российской Федерации</t>
  </si>
  <si>
    <t xml:space="preserve">Спорт-экспресс</t>
  </si>
  <si>
    <t xml:space="preserve">1244567PO</t>
  </si>
  <si>
    <t xml:space="preserve">АО «Спорт-Экспресс»</t>
  </si>
  <si>
    <t xml:space="preserve">Справочник врача общей практики</t>
  </si>
  <si>
    <t xml:space="preserve">1308259PO</t>
  </si>
  <si>
    <t xml:space="preserve">Справочник эколога</t>
  </si>
  <si>
    <t xml:space="preserve">1284596PO</t>
  </si>
  <si>
    <t xml:space="preserve">Справочник экономиста</t>
  </si>
  <si>
    <t xml:space="preserve">Справочник. Инженерный журнал</t>
  </si>
  <si>
    <t xml:space="preserve">Среднерусский вестник общественных наук</t>
  </si>
  <si>
    <t xml:space="preserve">1267078PO</t>
  </si>
  <si>
    <t xml:space="preserve">Средние века</t>
  </si>
  <si>
    <t xml:space="preserve">1183709PO</t>
  </si>
  <si>
    <t xml:space="preserve">Стандарты и качество</t>
  </si>
  <si>
    <t xml:space="preserve">1212130PO</t>
  </si>
  <si>
    <t xml:space="preserve">Стандарты и мониторинг в образовании</t>
  </si>
  <si>
    <t xml:space="preserve">1284214PO</t>
  </si>
  <si>
    <t xml:space="preserve">Стандарты качества</t>
  </si>
  <si>
    <t xml:space="preserve">1266774PO</t>
  </si>
  <si>
    <t xml:space="preserve">Станкоинструмент</t>
  </si>
  <si>
    <t xml:space="preserve">1258662PO</t>
  </si>
  <si>
    <t xml:space="preserve">Старшая медицинская сестра</t>
  </si>
  <si>
    <t xml:space="preserve">1318488PO</t>
  </si>
  <si>
    <t xml:space="preserve">Стекло и керамика</t>
  </si>
  <si>
    <t xml:space="preserve">Стимул</t>
  </si>
  <si>
    <t xml:space="preserve">ООО "Стимул"</t>
  </si>
  <si>
    <t xml:space="preserve">«Стимул» — журнал, посвященный инновационной деятельности. Он показывает, как превратить научные знания в технологии и продукты, а российский инновационный бизнес в лидера на глобальных рынках.</t>
  </si>
  <si>
    <t xml:space="preserve">СТИН</t>
  </si>
  <si>
    <t xml:space="preserve">Индивидуальный предприниматель Воробьева Ирина Игоревна</t>
  </si>
  <si>
    <t xml:space="preserve">Стоматология</t>
  </si>
  <si>
    <t xml:space="preserve">1284292PO</t>
  </si>
  <si>
    <t xml:space="preserve">Страж Балтики</t>
  </si>
  <si>
    <t xml:space="preserve">12499</t>
  </si>
  <si>
    <t xml:space="preserve">Калининград</t>
  </si>
  <si>
    <t xml:space="preserve">Cтарейшая ежедневная газета Балтфлота, основана 6 марта 1919 года в Кронштадте. В настоящее время печатается в Калининграде. Основные темы газеты - указы командующего Балтфлота, новости морской службы, проблемы военной реформы на флоте, история Балтфлота.</t>
  </si>
  <si>
    <t xml:space="preserve">Стратегирование: теория и практика</t>
  </si>
  <si>
    <t xml:space="preserve">Стратегические решения и риск -менеджмент</t>
  </si>
  <si>
    <t xml:space="preserve">1243232PO</t>
  </si>
  <si>
    <t xml:space="preserve">Стратиграфия. Геологическая корреляция</t>
  </si>
  <si>
    <t xml:space="preserve">1183710PO</t>
  </si>
  <si>
    <t xml:space="preserve">Страховое дело</t>
  </si>
  <si>
    <t xml:space="preserve">1330806PO</t>
  </si>
  <si>
    <t xml:space="preserve">ООО "Анкил"</t>
  </si>
  <si>
    <t xml:space="preserve">Страховое право</t>
  </si>
  <si>
    <t xml:space="preserve">1330807PO</t>
  </si>
  <si>
    <t xml:space="preserve">Строительная газета</t>
  </si>
  <si>
    <t xml:space="preserve">1221022PO</t>
  </si>
  <si>
    <t xml:space="preserve">ООО «Новая Строительная газета»</t>
  </si>
  <si>
    <t xml:space="preserve">Строительные материалы</t>
  </si>
  <si>
    <t xml:space="preserve">1191368PO</t>
  </si>
  <si>
    <t xml:space="preserve">Строительные материалы, оборудование , технологии ХХI века + приложение «Кровельные и изоляционные материалы»</t>
  </si>
  <si>
    <t xml:space="preserve">1348816PO</t>
  </si>
  <si>
    <t xml:space="preserve">ООО «Композит ХХI век»</t>
  </si>
  <si>
    <t xml:space="preserve">Строительный надзор. Стройэкспертиза</t>
  </si>
  <si>
    <t xml:space="preserve">1336142PO</t>
  </si>
  <si>
    <t xml:space="preserve">1257532PO</t>
  </si>
  <si>
    <t xml:space="preserve">Строительство и реконструкция</t>
  </si>
  <si>
    <t xml:space="preserve">Строительство нефтяных и газовых скважин на суше и на море</t>
  </si>
  <si>
    <t xml:space="preserve">1242717PO</t>
  </si>
  <si>
    <t xml:space="preserve">Строительство:  наука и образование </t>
  </si>
  <si>
    <t xml:space="preserve">1213298PO</t>
  </si>
  <si>
    <t xml:space="preserve">Строительство: новые технологии - новое оборудование</t>
  </si>
  <si>
    <t xml:space="preserve">1310812PO</t>
  </si>
  <si>
    <t xml:space="preserve">Строительство: технологии и материалы</t>
  </si>
  <si>
    <t xml:space="preserve">1185565PO</t>
  </si>
  <si>
    <t xml:space="preserve">Студенчество. Диалоги о воспитании</t>
  </si>
  <si>
    <t xml:space="preserve">Суворовский натиск</t>
  </si>
  <si>
    <t xml:space="preserve">12485</t>
  </si>
  <si>
    <t xml:space="preserve">Газета Краснознаменного Дальневосточного военного округа Освещает вопросы военной реформы, будни офицеров и солдат округа, вопросы денежного довольствия и материального обеспечения армии.</t>
  </si>
  <si>
    <t xml:space="preserve">Судебная экспертиза и исследования»</t>
  </si>
  <si>
    <t xml:space="preserve">Судебно-медицинская экспертиза</t>
  </si>
  <si>
    <t xml:space="preserve">1284296PO</t>
  </si>
  <si>
    <t xml:space="preserve">Судья</t>
  </si>
  <si>
    <t xml:space="preserve">1221470PO</t>
  </si>
  <si>
    <t xml:space="preserve">США. Канада: Экономика, политика, культура</t>
  </si>
  <si>
    <t xml:space="preserve">13792</t>
  </si>
  <si>
    <t xml:space="preserve">Единственный в России специализированный журнал по американистике. Издается Институтом США и Канады Академии наук.</t>
  </si>
  <si>
    <t xml:space="preserve">Сыроделие и маслоделие</t>
  </si>
  <si>
    <t xml:space="preserve">Таможенное регулирование. Таможенный контроль</t>
  </si>
  <si>
    <t xml:space="preserve">1266388PO</t>
  </si>
  <si>
    <t xml:space="preserve">Таможенный союз. Таможенное регулирование</t>
  </si>
  <si>
    <t xml:space="preserve">1357802PO</t>
  </si>
  <si>
    <t xml:space="preserve">Текст. Книга. Книгоиздание</t>
  </si>
  <si>
    <t xml:space="preserve">Телекоммуникации</t>
  </si>
  <si>
    <t xml:space="preserve">1193697PO</t>
  </si>
  <si>
    <t xml:space="preserve">Теневая экономика</t>
  </si>
  <si>
    <t xml:space="preserve">1306732PO</t>
  </si>
  <si>
    <t xml:space="preserve">Теоретическая и математическая физика</t>
  </si>
  <si>
    <t xml:space="preserve">Теоретические основы химической технологии</t>
  </si>
  <si>
    <t xml:space="preserve">1183711PO</t>
  </si>
  <si>
    <t xml:space="preserve">Теория вероятностей и ее применения</t>
  </si>
  <si>
    <t xml:space="preserve">Теория и практика переработки мяса</t>
  </si>
  <si>
    <t xml:space="preserve">1244910PO</t>
  </si>
  <si>
    <t xml:space="preserve">Теория и практика физической культуры</t>
  </si>
  <si>
    <t xml:space="preserve">1161256PO</t>
  </si>
  <si>
    <t xml:space="preserve">Теория моды. Одежда,тело, культура</t>
  </si>
  <si>
    <t xml:space="preserve">1278952PO</t>
  </si>
  <si>
    <t xml:space="preserve">Теплофизика высоких температур</t>
  </si>
  <si>
    <t xml:space="preserve">1183712PO</t>
  </si>
  <si>
    <t xml:space="preserve">Теплофизика и аэромеханика</t>
  </si>
  <si>
    <t xml:space="preserve">1186760PO</t>
  </si>
  <si>
    <t xml:space="preserve">Теплоэнергетика </t>
  </si>
  <si>
    <t xml:space="preserve">1264432PO</t>
  </si>
  <si>
    <t xml:space="preserve">ООО "Тематическая редакция"</t>
  </si>
  <si>
    <t xml:space="preserve">Теплоэнергетика. Теплоснабжение. Теплосбережение</t>
  </si>
  <si>
    <t xml:space="preserve">1353422PO</t>
  </si>
  <si>
    <t xml:space="preserve">Терапевт</t>
  </si>
  <si>
    <t xml:space="preserve">Терапия</t>
  </si>
  <si>
    <t xml:space="preserve">1241135PO</t>
  </si>
  <si>
    <t xml:space="preserve">Территория NDT</t>
  </si>
  <si>
    <t xml:space="preserve">Территория Нефтегаз</t>
  </si>
  <si>
    <t xml:space="preserve">Техник транспорта: образование и практика</t>
  </si>
  <si>
    <t xml:space="preserve">ФГБУ ДПО «УМЦ ЖДТ»</t>
  </si>
  <si>
    <t xml:space="preserve">Техника и вооружение</t>
  </si>
  <si>
    <t xml:space="preserve">12198</t>
  </si>
  <si>
    <t xml:space="preserve">Журнал, описывающий виды современного вооружения, которое имеется у российской и зарубежных армий.</t>
  </si>
  <si>
    <t xml:space="preserve">Техника и технология пищевых производств</t>
  </si>
  <si>
    <t xml:space="preserve">Технологии безопасности жизнедеятельности</t>
  </si>
  <si>
    <t xml:space="preserve">Технологии бетонов + приложение «Сухие строительные смеси»</t>
  </si>
  <si>
    <t xml:space="preserve">1348811PO</t>
  </si>
  <si>
    <t xml:space="preserve">Технологии в электронной промышленности</t>
  </si>
  <si>
    <t xml:space="preserve">1234336PO</t>
  </si>
  <si>
    <t xml:space="preserve">ООО "Медиа КиТ"</t>
  </si>
  <si>
    <t xml:space="preserve">Технологии живых систем</t>
  </si>
  <si>
    <t xml:space="preserve">1308075PO</t>
  </si>
  <si>
    <t xml:space="preserve">Технологии искусственного интеллекта</t>
  </si>
  <si>
    <t xml:space="preserve">Технология и товароведение инновационных пищевых продуктов</t>
  </si>
  <si>
    <t xml:space="preserve">Технология легких сплавов</t>
  </si>
  <si>
    <t xml:space="preserve">ОАО "Всероссийский институт легких сплавов"</t>
  </si>
  <si>
    <t xml:space="preserve">Технология металлов</t>
  </si>
  <si>
    <t xml:space="preserve">1193695PO</t>
  </si>
  <si>
    <t xml:space="preserve">Тихоокеанская вахта</t>
  </si>
  <si>
    <t xml:space="preserve">13959</t>
  </si>
  <si>
    <t xml:space="preserve">Петропавловск-Камчатский</t>
  </si>
  <si>
    <t xml:space="preserve">Издание посвящено вопросам боевой и политической подготовки военнослужащих, ходу военной реформы.</t>
  </si>
  <si>
    <t xml:space="preserve">Товаровед продовольственных товаров</t>
  </si>
  <si>
    <t xml:space="preserve">1260175PO</t>
  </si>
  <si>
    <t xml:space="preserve">Токсикологический вестник</t>
  </si>
  <si>
    <t xml:space="preserve">1343954PO</t>
  </si>
  <si>
    <t xml:space="preserve">Травматология и ортопедия  России</t>
  </si>
  <si>
    <t xml:space="preserve">1227344PO</t>
  </si>
  <si>
    <t xml:space="preserve">«Национальный медицинский исследовательский центр травматологии и ортопедии имени Р.Р. Вредена» Министерства здравоохранения Российской Федерации</t>
  </si>
  <si>
    <t xml:space="preserve">Транспорт России</t>
  </si>
  <si>
    <t xml:space="preserve">1330198PO</t>
  </si>
  <si>
    <t xml:space="preserve">Транспортная безопасность. Транспортный надзор</t>
  </si>
  <si>
    <t xml:space="preserve">1250884PO</t>
  </si>
  <si>
    <t xml:space="preserve">Транспортная логистика</t>
  </si>
  <si>
    <t xml:space="preserve">Транспортное строительство</t>
  </si>
  <si>
    <t xml:space="preserve">1260879PO</t>
  </si>
  <si>
    <t xml:space="preserve">ООО «МИП «Технопарк МАДИ»</t>
  </si>
  <si>
    <t xml:space="preserve">Трение и износ</t>
  </si>
  <si>
    <t xml:space="preserve">1214011PO</t>
  </si>
  <si>
    <t xml:space="preserve">Трибуна</t>
  </si>
  <si>
    <t xml:space="preserve">1214285PO</t>
  </si>
  <si>
    <t xml:space="preserve">Официальный орган Общественной Палаты Россйиской Федерации. Оперативность, глубина, точная информация.</t>
  </si>
  <si>
    <t xml:space="preserve">Труд</t>
  </si>
  <si>
    <t xml:space="preserve">12200</t>
  </si>
  <si>
    <t xml:space="preserve">Ее приоритетом являются социальные проблемы, в частности социальная защищенность граждан.</t>
  </si>
  <si>
    <t xml:space="preserve">Трудовое право</t>
  </si>
  <si>
    <t xml:space="preserve">1258459PO</t>
  </si>
  <si>
    <t xml:space="preserve">Трудовые отношения: регулирование и практика</t>
  </si>
  <si>
    <t xml:space="preserve">Труды Математического института имени В. А. Стеклова</t>
  </si>
  <si>
    <t xml:space="preserve">Труды Московского математичес-кого общества</t>
  </si>
  <si>
    <t xml:space="preserve">Труды по интеллектуальной собственности Works on Intellectual Property</t>
  </si>
  <si>
    <t xml:space="preserve">Труды Российского государственного университета нефти и газа имени И. М. Губкина</t>
  </si>
  <si>
    <t xml:space="preserve">1312949PO</t>
  </si>
  <si>
    <t xml:space="preserve">Туберкулез и болезни легких</t>
  </si>
  <si>
    <t xml:space="preserve">ООО "НЬЮ ТЕРРА"</t>
  </si>
  <si>
    <t xml:space="preserve">Туризм: региональное развитие</t>
  </si>
  <si>
    <t xml:space="preserve">Уголовная юстиция</t>
  </si>
  <si>
    <t xml:space="preserve">Уголовное право</t>
  </si>
  <si>
    <t xml:space="preserve">1339877PO</t>
  </si>
  <si>
    <t xml:space="preserve">ООО "Развитие правовых систем"</t>
  </si>
  <si>
    <t xml:space="preserve">Уголь</t>
  </si>
  <si>
    <t xml:space="preserve">ООО «Редакция журнала «Уголь»</t>
  </si>
  <si>
    <t xml:space="preserve">Ультразвуковая и функциональная диагностика</t>
  </si>
  <si>
    <t xml:space="preserve">994230PO</t>
  </si>
  <si>
    <t xml:space="preserve">Умный завод: цифровые решения</t>
  </si>
  <si>
    <t xml:space="preserve">Университетская книга</t>
  </si>
  <si>
    <t xml:space="preserve">915480PO</t>
  </si>
  <si>
    <t xml:space="preserve">ООО "ИД Университетская книга"</t>
  </si>
  <si>
    <t xml:space="preserve">Журнал адресован вузовским и публичным библиотекам, издательствам и редакционно-издательским отделам высших и средних специальных учебных заведений, независимым издательствам и книготорговым предприятиям, а также всем участникам рынка учебной литературы.</t>
  </si>
  <si>
    <t xml:space="preserve">Университетское управление:практика и анализ</t>
  </si>
  <si>
    <t xml:space="preserve">1339882PO</t>
  </si>
  <si>
    <t xml:space="preserve">Некоммерческое партнерство "Журнал "Университетское управление:практика и анализ"</t>
  </si>
  <si>
    <t xml:space="preserve">Управление ДОУ</t>
  </si>
  <si>
    <t xml:space="preserve">1325197PO</t>
  </si>
  <si>
    <t xml:space="preserve">Управление качеством</t>
  </si>
  <si>
    <t xml:space="preserve">1308260PO</t>
  </si>
  <si>
    <t xml:space="preserve">Управление отходами: технологии переработки</t>
  </si>
  <si>
    <t xml:space="preserve">1357801PO</t>
  </si>
  <si>
    <t xml:space="preserve">Управление персоналом</t>
  </si>
  <si>
    <t xml:space="preserve">917674PO</t>
  </si>
  <si>
    <t xml:space="preserve">Управление персоналом и интеллектуальными ресурсами в России</t>
  </si>
  <si>
    <t xml:space="preserve">1271822PO</t>
  </si>
  <si>
    <t xml:space="preserve">Управление персоналом. HR-технологии (ранее HR-менеджеру)</t>
  </si>
  <si>
    <t xml:space="preserve">Управление риском</t>
  </si>
  <si>
    <t xml:space="preserve">1330809PO</t>
  </si>
  <si>
    <t xml:space="preserve">Управление современной школой. Завуч</t>
  </si>
  <si>
    <t xml:space="preserve">1279867PO</t>
  </si>
  <si>
    <t xml:space="preserve">Управленческие науки</t>
  </si>
  <si>
    <t xml:space="preserve">1228558PO</t>
  </si>
  <si>
    <t xml:space="preserve">Управленческое консультирование</t>
  </si>
  <si>
    <t xml:space="preserve">1260874PO</t>
  </si>
  <si>
    <t xml:space="preserve">Упрочняющие технологии и покрытия</t>
  </si>
  <si>
    <t xml:space="preserve">1242505PO</t>
  </si>
  <si>
    <t xml:space="preserve">Уральские военные вести</t>
  </si>
  <si>
    <t xml:space="preserve">12476</t>
  </si>
  <si>
    <t xml:space="preserve">Газета Краснознаменного Уральского военного округа. Публикует материалы о жизни округа, взаимоотношениях военных и гражданских властей, репортажи о жизни военных подразделений.</t>
  </si>
  <si>
    <t xml:space="preserve">Уровень жизни населения регионов России</t>
  </si>
  <si>
    <t xml:space="preserve">ФГБУН "Институт экономики РАН"</t>
  </si>
  <si>
    <t xml:space="preserve">Урология</t>
  </si>
  <si>
    <t xml:space="preserve">1241133PO</t>
  </si>
  <si>
    <t xml:space="preserve">Урология сегодня</t>
  </si>
  <si>
    <t xml:space="preserve">Успехи геронтологии</t>
  </si>
  <si>
    <t xml:space="preserve">1161258PO</t>
  </si>
  <si>
    <t xml:space="preserve">Успехи математических наук</t>
  </si>
  <si>
    <t xml:space="preserve">Успехи молекулярной онкологии</t>
  </si>
  <si>
    <t xml:space="preserve">Успехи прикладной физики</t>
  </si>
  <si>
    <t xml:space="preserve">АО "НПО "Орион""</t>
  </si>
  <si>
    <t xml:space="preserve">Успехи современной биологии</t>
  </si>
  <si>
    <t xml:space="preserve">Успехи современной радиоэлектроники</t>
  </si>
  <si>
    <t xml:space="preserve">1308076PO</t>
  </si>
  <si>
    <t xml:space="preserve">Успехи физиологических наук</t>
  </si>
  <si>
    <t xml:space="preserve">1183718PO</t>
  </si>
  <si>
    <t xml:space="preserve">Успехи химии</t>
  </si>
  <si>
    <t xml:space="preserve">827503PO</t>
  </si>
  <si>
    <t xml:space="preserve">АНО "Успехи химии"</t>
  </si>
  <si>
    <t xml:space="preserve">Ученые записки</t>
  </si>
  <si>
    <t xml:space="preserve">1303291PO</t>
  </si>
  <si>
    <t xml:space="preserve">Ученые записки ОГУ</t>
  </si>
  <si>
    <t xml:space="preserve">Ученый совет</t>
  </si>
  <si>
    <t xml:space="preserve">1306942PO</t>
  </si>
  <si>
    <t xml:space="preserve">Учет и контроль</t>
  </si>
  <si>
    <t xml:space="preserve">Учет. Анализ. Аудит</t>
  </si>
  <si>
    <t xml:space="preserve">1228565PO</t>
  </si>
  <si>
    <t xml:space="preserve">Фармакогенетика и фармакогеномика </t>
  </si>
  <si>
    <t xml:space="preserve">Фармакокинетика и фармакодинамика </t>
  </si>
  <si>
    <t xml:space="preserve">Фарматека</t>
  </si>
  <si>
    <t xml:space="preserve">1244645PO</t>
  </si>
  <si>
    <t xml:space="preserve">Фармацевтический вестник</t>
  </si>
  <si>
    <t xml:space="preserve">1315887PO</t>
  </si>
  <si>
    <t xml:space="preserve">Фармацевтическое дело и технология лекарств</t>
  </si>
  <si>
    <t xml:space="preserve">Фармация</t>
  </si>
  <si>
    <t xml:space="preserve">53109</t>
  </si>
  <si>
    <t xml:space="preserve">Все вопросы, связанные с теорией и практикой фармацевтического дела: технология лекарств, получение и исследование лекарственных веществ, изучение лекарственных средств растительного происхождения, организация фармацевтического дела. Также статьи по вопросам изыскания, изучения и использования отечественного сырья, синтеза и производства лекарственных препаратов, методов контроля лекарственной </t>
  </si>
  <si>
    <t xml:space="preserve">Фармпрепараты: клинические испытания и практика</t>
  </si>
  <si>
    <t xml:space="preserve">1183329PO</t>
  </si>
  <si>
    <t xml:space="preserve">Федеральный бизнес-журнал</t>
  </si>
  <si>
    <t xml:space="preserve">980258PO</t>
  </si>
  <si>
    <t xml:space="preserve">ООО "Региональные новости"</t>
  </si>
  <si>
    <t xml:space="preserve">Физика в школе</t>
  </si>
  <si>
    <t xml:space="preserve">1255718PO</t>
  </si>
  <si>
    <t xml:space="preserve">Физика горения и взрыва</t>
  </si>
  <si>
    <t xml:space="preserve">978422PO</t>
  </si>
  <si>
    <t xml:space="preserve"> Журнал является одним из немногих в мире, специализирующихся в области исследований по физике горения и взрыва.</t>
  </si>
  <si>
    <t xml:space="preserve">Физика Земли</t>
  </si>
  <si>
    <t xml:space="preserve">1183720PO</t>
  </si>
  <si>
    <t xml:space="preserve">Физика и техника полупроводников</t>
  </si>
  <si>
    <t xml:space="preserve">1183722PO</t>
  </si>
  <si>
    <t xml:space="preserve">Физика и химия обработки материалов</t>
  </si>
  <si>
    <t xml:space="preserve">Физика и химия стекла</t>
  </si>
  <si>
    <t xml:space="preserve">1183723PO</t>
  </si>
  <si>
    <t xml:space="preserve">Физика металлов и металловедение </t>
  </si>
  <si>
    <t xml:space="preserve">1183727PO</t>
  </si>
  <si>
    <t xml:space="preserve">Физика плазмы</t>
  </si>
  <si>
    <t xml:space="preserve">1183728PO</t>
  </si>
  <si>
    <t xml:space="preserve">Физика твердого тела</t>
  </si>
  <si>
    <t xml:space="preserve">1183729PO</t>
  </si>
  <si>
    <t xml:space="preserve">Физико-технические проблемы разработки полезных ископаемых</t>
  </si>
  <si>
    <t xml:space="preserve">978841PO</t>
  </si>
  <si>
    <t xml:space="preserve"> Традиционные темы журнала: проблемы механики горных пород и массивов, возникающие в связи с деятельностью человека по эксплуатации недр; принципиально новые методы разрушения горных пород; современные технологии извлечения полезных ископаемых; основы создания и обеспечения эффективности применения средств механизации горных работ и автоматизации управления технологическими процессами; вопросы совершенствования подземных и открытых горных работ; повышение безопасности горных работ; проблемы обогащения полезных ископаемых.  </t>
  </si>
  <si>
    <t xml:space="preserve">Физикохимия поверхности и защита материалов</t>
  </si>
  <si>
    <t xml:space="preserve">1183730PO</t>
  </si>
  <si>
    <t xml:space="preserve">Физиология растений</t>
  </si>
  <si>
    <t xml:space="preserve">1183731PO</t>
  </si>
  <si>
    <t xml:space="preserve">Физиология человека</t>
  </si>
  <si>
    <t xml:space="preserve">1183733PO</t>
  </si>
  <si>
    <t xml:space="preserve">Физиотерапевт</t>
  </si>
  <si>
    <t xml:space="preserve">Физическая и реабилитационная медицина, медицинская реабилитация</t>
  </si>
  <si>
    <t xml:space="preserve">1307206PO</t>
  </si>
  <si>
    <t xml:space="preserve">Федеральный научно-клинический центр реаниматологии и реабилитологии</t>
  </si>
  <si>
    <t xml:space="preserve">Физическая культура в школе</t>
  </si>
  <si>
    <t xml:space="preserve">1257203PO</t>
  </si>
  <si>
    <t xml:space="preserve">Физическая культура:воспитание, образование, тренировка</t>
  </si>
  <si>
    <t xml:space="preserve">1161257PO</t>
  </si>
  <si>
    <t xml:space="preserve">Научно-издательский центр «Теория и практика физической культуры и спорта»</t>
  </si>
  <si>
    <t xml:space="preserve">Филологические науки</t>
  </si>
  <si>
    <t xml:space="preserve">952762PO</t>
  </si>
  <si>
    <t xml:space="preserve">ООО "АЛМАВЕСТ"</t>
  </si>
  <si>
    <t xml:space="preserve">Филологические науки в МГИМО</t>
  </si>
  <si>
    <t xml:space="preserve">1271632PO</t>
  </si>
  <si>
    <t xml:space="preserve">Филологические науки. Вопросы теории и практики</t>
  </si>
  <si>
    <t xml:space="preserve">1328740PO</t>
  </si>
  <si>
    <t xml:space="preserve">Филологический класс</t>
  </si>
  <si>
    <t xml:space="preserve">951495PO</t>
  </si>
  <si>
    <t xml:space="preserve">Филология и человек</t>
  </si>
  <si>
    <t xml:space="preserve">Философия (Реферативный журнал)</t>
  </si>
  <si>
    <t xml:space="preserve">1305016PO</t>
  </si>
  <si>
    <t xml:space="preserve">Философия и общество</t>
  </si>
  <si>
    <t xml:space="preserve">1278247PO</t>
  </si>
  <si>
    <t xml:space="preserve">Философия и социология (Библиографические указатели)</t>
  </si>
  <si>
    <t xml:space="preserve">1304585PO</t>
  </si>
  <si>
    <t xml:space="preserve">Философия науки</t>
  </si>
  <si>
    <t xml:space="preserve">980766PO</t>
  </si>
  <si>
    <t xml:space="preserve">Это первый российский журнал, посвященный проблемам философии, логики, методологии и истории естественных наук.  </t>
  </si>
  <si>
    <t xml:space="preserve">Философия науки и техники</t>
  </si>
  <si>
    <t xml:space="preserve">Философия образования</t>
  </si>
  <si>
    <t xml:space="preserve">764596PO</t>
  </si>
  <si>
    <t xml:space="preserve">Журнал для профессионалов широкого гуманитарного профиля. Поиск оптимальных путей развития и выявление новых технологий высшего и среднего профессионального образования, закрепление нового мышления в практике профессионального образования и развития. </t>
  </si>
  <si>
    <t xml:space="preserve">Философия религии: аналитические исследования</t>
  </si>
  <si>
    <t xml:space="preserve">Философская антропология</t>
  </si>
  <si>
    <t xml:space="preserve">Философские науки</t>
  </si>
  <si>
    <t xml:space="preserve">1259691PO</t>
  </si>
  <si>
    <t xml:space="preserve">Философский журнал</t>
  </si>
  <si>
    <t xml:space="preserve">Финансовая аналитика: проблемы и решения</t>
  </si>
  <si>
    <t xml:space="preserve">980257PO</t>
  </si>
  <si>
    <t xml:space="preserve">Ежемесячный научно-практический сборник — информационно-аналитическое издание, посвященное вопросам повышения эффективности управления финансами как на макро-, так и на микроуровнях экономики.</t>
  </si>
  <si>
    <t xml:space="preserve">Финансовая жизнь</t>
  </si>
  <si>
    <t xml:space="preserve">1173913PO</t>
  </si>
  <si>
    <t xml:space="preserve">Финансовые рынки и банки</t>
  </si>
  <si>
    <t xml:space="preserve">Финансовый журнал</t>
  </si>
  <si>
    <t xml:space="preserve">1330206PO</t>
  </si>
  <si>
    <t xml:space="preserve">Федеральное государственное бюджетное учреждение  «Научно-исследовательский финансовый институт Министерства  финансов  Российской Федерации»</t>
  </si>
  <si>
    <t xml:space="preserve">Финансовый менеджмент</t>
  </si>
  <si>
    <t xml:space="preserve">914921PO</t>
  </si>
  <si>
    <t xml:space="preserve">ООО "Издательский дом "Академический"</t>
  </si>
  <si>
    <t xml:space="preserve">Журнал для практиков и изучающих секреты манипулирования финансами. Раскрываются все стороны управления финансами предприятия: финансовый и налоговый учет, экономическое прочтение финансовой отчетности, стоимость компании (оценка и методы), моделирование финансовой устойчивости, бизнес-планирование инвестиционных проектов, новые финансовые и информационные технологии, образовательный курс для финансового управляющего, анализ положения на финансовых рынках России и за рубежом.</t>
  </si>
  <si>
    <t xml:space="preserve">914930PO</t>
  </si>
  <si>
    <t xml:space="preserve">ООО «Книжная редакция «Финансы»</t>
  </si>
  <si>
    <t xml:space="preserve">Ежемесячный теоретический и научно-практический журнал «Финансы» (вопросы теории, методологии и практики финансов и бюджета, рынка ценных бумаг, налогообложения, страхования, финансового контроля) издается с 1926 года. Учредители журнала - Министерство финансов Российской Федерации и ООО «Книжная редакция журнала «Финансы». На страницах журналов публикуются актуальные материалы и даются разъяснения специалистов по вопросам теории, методологии и практики финансов и бюджета, казначейства, рынка ценных бумаг, налогообложения, страхования, бухгалтерского и налогового учета, финансового менеджмента и контроля.</t>
  </si>
  <si>
    <t xml:space="preserve">Финансы и кредит</t>
  </si>
  <si>
    <t xml:space="preserve">914927PO</t>
  </si>
  <si>
    <t xml:space="preserve">В журнале раскрываются современные проблемы теории и практики финансов, денежного обращения и кредита, банковского и страхового дела, рынка ценных бумаг, налоговой политики и финансового права; публикуются рейтинги банков, обзоры динамики и стратегии развития коммерческих банков, исторические обзоры о развитии банковского дела, а также материалы научных конференций. </t>
  </si>
  <si>
    <t xml:space="preserve">Финансы, деньги, инвестиции</t>
  </si>
  <si>
    <t xml:space="preserve">Финансы:теория и практика</t>
  </si>
  <si>
    <t xml:space="preserve">1228554PO</t>
  </si>
  <si>
    <t xml:space="preserve">Финконтроль</t>
  </si>
  <si>
    <t xml:space="preserve">1213246PO</t>
  </si>
  <si>
    <t xml:space="preserve">Финно-угорский мир</t>
  </si>
  <si>
    <t xml:space="preserve">Флаг Родины</t>
  </si>
  <si>
    <t xml:space="preserve">12486</t>
  </si>
  <si>
    <t xml:space="preserve">Севастополь</t>
  </si>
  <si>
    <t xml:space="preserve">Газета Краснознаменного Черноморского флота Российской Федерации. Издается с 15 июля 1920 г. в Севастополе. Публикует официальные документы, материалы пресс-службы ВМС России, городские новости, исторические обзоры.</t>
  </si>
  <si>
    <t xml:space="preserve">Флебология</t>
  </si>
  <si>
    <t xml:space="preserve">1295899PO</t>
  </si>
  <si>
    <t xml:space="preserve">Фома</t>
  </si>
  <si>
    <t xml:space="preserve">АНО редакция журнала «Фома»</t>
  </si>
  <si>
    <t xml:space="preserve">ФОРСАЙТ</t>
  </si>
  <si>
    <t xml:space="preserve">1195791PO</t>
  </si>
  <si>
    <t xml:space="preserve">ФОТОНИКА</t>
  </si>
  <si>
    <t xml:space="preserve">1258656PO</t>
  </si>
  <si>
    <t xml:space="preserve">  ЗАО РИЦ «Техносфера»</t>
  </si>
  <si>
    <t xml:space="preserve">Фундаментальные и прикладные проблемы техники и технологии</t>
  </si>
  <si>
    <t xml:space="preserve">Функциональный анализ и его приложения</t>
  </si>
  <si>
    <t xml:space="preserve">Химико-фармацевтический журнал</t>
  </si>
  <si>
    <t xml:space="preserve">1316761PO</t>
  </si>
  <si>
    <t xml:space="preserve">Молекулярно-биологические проблемы создания лекарственных средств (ЛС) и изучение механизма их действия; лекарственные растения, поиск новых ЛС; синтез и технология ЛС; строение соединений, методы анализа и контроль производства; стандартизация ЛС.</t>
  </si>
  <si>
    <t xml:space="preserve">Химическая промышленность сегодня</t>
  </si>
  <si>
    <t xml:space="preserve">1302844PO</t>
  </si>
  <si>
    <t xml:space="preserve">ООО "Химпром сегодня"</t>
  </si>
  <si>
    <t xml:space="preserve">Химическая технология</t>
  </si>
  <si>
    <t xml:space="preserve">1193694PO</t>
  </si>
  <si>
    <t xml:space="preserve">Химическая физика</t>
  </si>
  <si>
    <t xml:space="preserve">1183735PO</t>
  </si>
  <si>
    <t xml:space="preserve">Химия в интересах устойчивого развития</t>
  </si>
  <si>
    <t xml:space="preserve">В журнале публикуются оригинальные научные сообщения и обзоры по химии процессов, представляющих основу принципиально новых технологий, создаваемых в интересах устойчивого развития, или усовершенствования действующих, сохранения природной среды, экономии ресурсов, энергосбережения.</t>
  </si>
  <si>
    <t xml:space="preserve">Химия в школе</t>
  </si>
  <si>
    <t xml:space="preserve">1279863PO</t>
  </si>
  <si>
    <t xml:space="preserve">ЦЕНТРХИМПРЕСС ООО</t>
  </si>
  <si>
    <t xml:space="preserve">Химия высоких энергий</t>
  </si>
  <si>
    <t xml:space="preserve">1183736PO</t>
  </si>
  <si>
    <t xml:space="preserve">Химия и жизнь</t>
  </si>
  <si>
    <t xml:space="preserve">1279651PO</t>
  </si>
  <si>
    <t xml:space="preserve">АНО "Центр НаукаПресс"</t>
  </si>
  <si>
    <t xml:space="preserve">Химия растительного сырья</t>
  </si>
  <si>
    <t xml:space="preserve">1310131PO</t>
  </si>
  <si>
    <t xml:space="preserve">Химия твердого топлива</t>
  </si>
  <si>
    <t xml:space="preserve">1183737PO</t>
  </si>
  <si>
    <t xml:space="preserve">Хирург</t>
  </si>
  <si>
    <t xml:space="preserve">1267450PO</t>
  </si>
  <si>
    <t xml:space="preserve">Хирургия Восточная Европа</t>
  </si>
  <si>
    <t xml:space="preserve">987354PO</t>
  </si>
  <si>
    <t xml:space="preserve">Хирургия и онкология</t>
  </si>
  <si>
    <t xml:space="preserve">Хирургия: журнал им. Н.И. Пирогова</t>
  </si>
  <si>
    <t xml:space="preserve">1284298PO</t>
  </si>
  <si>
    <t xml:space="preserve">Хлебопродукты</t>
  </si>
  <si>
    <t xml:space="preserve">1226670PO</t>
  </si>
  <si>
    <t xml:space="preserve">  ООО «Издательство «Хлебопродукты»</t>
  </si>
  <si>
    <t xml:space="preserve">Художественное образование и наука</t>
  </si>
  <si>
    <t xml:space="preserve">Цветные металлы</t>
  </si>
  <si>
    <t xml:space="preserve">1234025PO</t>
  </si>
  <si>
    <t xml:space="preserve">Цены и тарифы в ЖКХ</t>
  </si>
  <si>
    <t xml:space="preserve">Цивилист</t>
  </si>
  <si>
    <t xml:space="preserve">Цитология</t>
  </si>
  <si>
    <t xml:space="preserve">1183738PO</t>
  </si>
  <si>
    <t xml:space="preserve">Цифровая трансформация</t>
  </si>
  <si>
    <t xml:space="preserve">1359463PO</t>
  </si>
  <si>
    <t xml:space="preserve">Цифровая экономика и инновации</t>
  </si>
  <si>
    <t xml:space="preserve">Цифровизация в госсекторе</t>
  </si>
  <si>
    <t xml:space="preserve">Цифровое производство. Digital Factory</t>
  </si>
  <si>
    <t xml:space="preserve">Цифровые решения в бизнесе</t>
  </si>
  <si>
    <t xml:space="preserve">Человек</t>
  </si>
  <si>
    <t xml:space="preserve">13793</t>
  </si>
  <si>
    <t xml:space="preserve">Научно-популярный иллюстрированный журнал, посвященный человеку. Затрагивает вопросы психологии, религии, культурной жизни, философии.</t>
  </si>
  <si>
    <t xml:space="preserve">Человек: образ и сущность</t>
  </si>
  <si>
    <t xml:space="preserve">1305045PO</t>
  </si>
  <si>
    <t xml:space="preserve">Черная металлургия. Бюллетень научно-технической и экономической информации</t>
  </si>
  <si>
    <t xml:space="preserve">ФГАОУ ВО «Южно-Уральский государственный университет (национальный исследовательский университет)»</t>
  </si>
  <si>
    <t xml:space="preserve">Черные дыры в Российском законодательстве</t>
  </si>
  <si>
    <t xml:space="preserve">Индивидуальный предприниматель Чистяков Владислав Юрьевич </t>
  </si>
  <si>
    <t xml:space="preserve">Черные металлы</t>
  </si>
  <si>
    <t xml:space="preserve">1228528PO</t>
  </si>
  <si>
    <t xml:space="preserve">Чеховиана</t>
  </si>
  <si>
    <t xml:space="preserve">SYS000069</t>
  </si>
  <si>
    <t xml:space="preserve">Сборник работ, посвященных различным аспектам жизни и творчества великого русского писателя Антона (для русской версии – А.П.) Чехова. Обсуждаются значение Чехова для истории русской литературы, его место в литературной жизни его эпохи, влияние на современников и последующую литературу, восприятие его творчества за рубежом. </t>
  </si>
  <si>
    <t xml:space="preserve">Читайка</t>
  </si>
  <si>
    <t xml:space="preserve">996494PO</t>
  </si>
  <si>
    <t xml:space="preserve">Русская школьная библиотечная ассоциация </t>
  </si>
  <si>
    <t xml:space="preserve">Школа и производство</t>
  </si>
  <si>
    <t xml:space="preserve">1255713PO</t>
  </si>
  <si>
    <t xml:space="preserve">Школьная библиотека</t>
  </si>
  <si>
    <t xml:space="preserve">998033PO</t>
  </si>
  <si>
    <t xml:space="preserve">  Русская школьная библиотечная ассоциация</t>
  </si>
  <si>
    <t xml:space="preserve">Школьные технологии</t>
  </si>
  <si>
    <t xml:space="preserve">908048PO</t>
  </si>
  <si>
    <t xml:space="preserve">Новейшие материалы в области нововведения школьных программ и методик.</t>
  </si>
  <si>
    <t xml:space="preserve">Щит и меч</t>
  </si>
  <si>
    <t xml:space="preserve">14952</t>
  </si>
  <si>
    <t xml:space="preserve">Газета Министерства внутренних дел России Освещает деятельность органов внутренних дел по борьбе с преступностью, информирует массового читателя о состоянии борьбы с преступностью.</t>
  </si>
  <si>
    <t xml:space="preserve">ЭКО. Всероссийский экономический журнал</t>
  </si>
  <si>
    <t xml:space="preserve">767984PO</t>
  </si>
  <si>
    <t xml:space="preserve">АНО "Редакция журнала "ЭКО"</t>
  </si>
  <si>
    <t xml:space="preserve">Наиболее актуальные социально-экономические проблемы, обзоры и прогнозы развития экономики, результаты социологических исследований, статьи по социальной психологии, трудовым отношениям, праву.</t>
  </si>
  <si>
    <t xml:space="preserve">Экологическая безопасность</t>
  </si>
  <si>
    <t xml:space="preserve">Экологическая безопасность. Зеленые стандарты</t>
  </si>
  <si>
    <t xml:space="preserve">1187966PO</t>
  </si>
  <si>
    <t xml:space="preserve">Экологическая химия</t>
  </si>
  <si>
    <t xml:space="preserve">1260489PO</t>
  </si>
  <si>
    <t xml:space="preserve">Экология </t>
  </si>
  <si>
    <t xml:space="preserve">1183739PO</t>
  </si>
  <si>
    <t xml:space="preserve">Экология и промышленность России</t>
  </si>
  <si>
    <t xml:space="preserve">1213842PO</t>
  </si>
  <si>
    <t xml:space="preserve">Экология промышленного производства </t>
  </si>
  <si>
    <t xml:space="preserve">1263984PO</t>
  </si>
  <si>
    <t xml:space="preserve">Экономика (Библиографические указатели)</t>
  </si>
  <si>
    <t xml:space="preserve">1304588PO</t>
  </si>
  <si>
    <t xml:space="preserve">Экономика данных: развитие цифровых технологий (ранее Цифровая экономика 4.0)</t>
  </si>
  <si>
    <t xml:space="preserve">1258955PO</t>
  </si>
  <si>
    <t xml:space="preserve">Экономика и математические методы</t>
  </si>
  <si>
    <t xml:space="preserve">13794</t>
  </si>
  <si>
    <t xml:space="preserve">Академический журнал, исследующий применение математических методов в экономике.</t>
  </si>
  <si>
    <t xml:space="preserve">Экономика и управление</t>
  </si>
  <si>
    <t xml:space="preserve">1303295PO</t>
  </si>
  <si>
    <t xml:space="preserve">Экономика и управление: проблемы и решения</t>
  </si>
  <si>
    <t xml:space="preserve">Экономика и экология территориальных образований</t>
  </si>
  <si>
    <t xml:space="preserve">Экономика науки</t>
  </si>
  <si>
    <t xml:space="preserve">1267053PO</t>
  </si>
  <si>
    <t xml:space="preserve">Экономика образования</t>
  </si>
  <si>
    <t xml:space="preserve">1351413PO</t>
  </si>
  <si>
    <t xml:space="preserve">Экономика промышленности</t>
  </si>
  <si>
    <t xml:space="preserve">Экономика региона</t>
  </si>
  <si>
    <t xml:space="preserve">Экономика сельского хозяйства России</t>
  </si>
  <si>
    <t xml:space="preserve">АНО Редакция журнала «ЭСХР»</t>
  </si>
  <si>
    <t xml:space="preserve">Экономика сельскохозяйственных и перерабатывающих предприятий</t>
  </si>
  <si>
    <t xml:space="preserve">1324363PO</t>
  </si>
  <si>
    <t xml:space="preserve">ООО «Редакция журнала «ЭСПП»</t>
  </si>
  <si>
    <t xml:space="preserve">Экономика строительства</t>
  </si>
  <si>
    <t xml:space="preserve">1234259PO</t>
  </si>
  <si>
    <t xml:space="preserve">Экономика труда</t>
  </si>
  <si>
    <t xml:space="preserve">1222279PO</t>
  </si>
  <si>
    <t xml:space="preserve">Экономика Центральной Азии</t>
  </si>
  <si>
    <t xml:space="preserve">1306731PO</t>
  </si>
  <si>
    <t xml:space="preserve">Экономика, предпринимательство и право</t>
  </si>
  <si>
    <t xml:space="preserve">1222280PO</t>
  </si>
  <si>
    <t xml:space="preserve">Экономика. Информатика</t>
  </si>
  <si>
    <t xml:space="preserve">Экономика. Налоги. Право</t>
  </si>
  <si>
    <t xml:space="preserve">1228557PO</t>
  </si>
  <si>
    <t xml:space="preserve">Экономика.Профессия.Бизнес</t>
  </si>
  <si>
    <t xml:space="preserve">1337755PO</t>
  </si>
  <si>
    <t xml:space="preserve">Экономист</t>
  </si>
  <si>
    <t xml:space="preserve">837186PO</t>
  </si>
  <si>
    <t xml:space="preserve">ИП Губанова А.Ю.</t>
  </si>
  <si>
    <t xml:space="preserve">Журнал «ЭКОНОМИСТ» – экономический журнал России с давней историей и классическими традициями. В настоящее время соучредителем журнала является Министерство экономического развития Российской Федерации.</t>
  </si>
  <si>
    <t xml:space="preserve">Экономическая безопасность</t>
  </si>
  <si>
    <t xml:space="preserve">1313141PO</t>
  </si>
  <si>
    <t xml:space="preserve">Экономическая безопасность в бизнесе</t>
  </si>
  <si>
    <t xml:space="preserve">1238832PO</t>
  </si>
  <si>
    <t xml:space="preserve">Экономическая политика</t>
  </si>
  <si>
    <t xml:space="preserve">997235PO</t>
  </si>
  <si>
    <t xml:space="preserve">АНО «Редакция журнала „Экономическая политика"».</t>
  </si>
  <si>
    <t xml:space="preserve">Экономические и гуманитарные науки</t>
  </si>
  <si>
    <t xml:space="preserve">Экономические и социальные проблемы России</t>
  </si>
  <si>
    <t xml:space="preserve">1305028PO</t>
  </si>
  <si>
    <t xml:space="preserve">Экономические отношения</t>
  </si>
  <si>
    <t xml:space="preserve">1306730PO</t>
  </si>
  <si>
    <t xml:space="preserve">Экономические стратегии</t>
  </si>
  <si>
    <t xml:space="preserve">937205PO</t>
  </si>
  <si>
    <t xml:space="preserve">Экономический анализ: теория и практика</t>
  </si>
  <si>
    <t xml:space="preserve">914928PO</t>
  </si>
  <si>
    <t xml:space="preserve">В журнале освещаются теоретические вопросы и практические проблемы, возникающие в процессе экономического анализа проектных решений; оценка, диагностика и прогнозирование инвестиционной и финансово-хозяйственной деятельности предприятий. </t>
  </si>
  <si>
    <t xml:space="preserve">Экономический журнал Высшей школы экономики</t>
  </si>
  <si>
    <t xml:space="preserve">1195783PO</t>
  </si>
  <si>
    <t xml:space="preserve">988328PO</t>
  </si>
  <si>
    <t xml:space="preserve">Экоспоры</t>
  </si>
  <si>
    <t xml:space="preserve">Экран и сцена</t>
  </si>
  <si>
    <t xml:space="preserve">1217046PO</t>
  </si>
  <si>
    <t xml:space="preserve">Экспериментальная и клиническая фармакология</t>
  </si>
  <si>
    <t xml:space="preserve">1316766PO</t>
  </si>
  <si>
    <t xml:space="preserve">Фундаментальные исследования по фармакологии, клинические испытания фармпрепаратов  синтетического и растительного происхождения. Для фармакологов, фармацевтов, врачей клиницистов – подробная информация о новых отечественных и зарубежных препаратах</t>
  </si>
  <si>
    <t xml:space="preserve">Экспериментальная психология</t>
  </si>
  <si>
    <t xml:space="preserve">1136574PO</t>
  </si>
  <si>
    <t xml:space="preserve">Эксперт</t>
  </si>
  <si>
    <t xml:space="preserve">12101</t>
  </si>
  <si>
    <t xml:space="preserve">ООО "Эксперт.Медиа"</t>
  </si>
  <si>
    <t xml:space="preserve">Деловой журнал западного типа. Привлекает лучших экономических экспертов, влиятельных бизнесменов и политиков.</t>
  </si>
  <si>
    <t xml:space="preserve">Электрические станции</t>
  </si>
  <si>
    <t xml:space="preserve">1339884PO</t>
  </si>
  <si>
    <t xml:space="preserve">Электричество</t>
  </si>
  <si>
    <t xml:space="preserve">1278484PO</t>
  </si>
  <si>
    <t xml:space="preserve">Электромагнитные волны и электронные системы</t>
  </si>
  <si>
    <t xml:space="preserve">1308077PO</t>
  </si>
  <si>
    <t xml:space="preserve">Электрометаллургия  </t>
  </si>
  <si>
    <t xml:space="preserve">1193693PO</t>
  </si>
  <si>
    <t xml:space="preserve">ЭЛЕКТРОНИКА:Наука, Технология, Бизнес</t>
  </si>
  <si>
    <t xml:space="preserve">1258657PO</t>
  </si>
  <si>
    <t xml:space="preserve">Электронные компоненты</t>
  </si>
  <si>
    <t xml:space="preserve">Электрооборудование: эксплутация и ремонт</t>
  </si>
  <si>
    <t xml:space="preserve">1310107PO</t>
  </si>
  <si>
    <t xml:space="preserve">Электрохимическая энергетика. </t>
  </si>
  <si>
    <t xml:space="preserve">1191213PO</t>
  </si>
  <si>
    <t xml:space="preserve">Электрохимия</t>
  </si>
  <si>
    <t xml:space="preserve">1183740PO</t>
  </si>
  <si>
    <t xml:space="preserve">Электроцех</t>
  </si>
  <si>
    <t xml:space="preserve">Эндодонтия today</t>
  </si>
  <si>
    <t xml:space="preserve">1332869PO</t>
  </si>
  <si>
    <t xml:space="preserve">ООО ЭНДО ПРЕСС</t>
  </si>
  <si>
    <t xml:space="preserve">Эндокринология: новости, мнения,  обучение</t>
  </si>
  <si>
    <t xml:space="preserve">1270440PO</t>
  </si>
  <si>
    <t xml:space="preserve">Эндоскопическая хирургия</t>
  </si>
  <si>
    <t xml:space="preserve">Энергетик</t>
  </si>
  <si>
    <t xml:space="preserve">1334428PO</t>
  </si>
  <si>
    <t xml:space="preserve">Энергетика за рубежом. Приложение к журналу "Энергетик"</t>
  </si>
  <si>
    <t xml:space="preserve">1334622PO</t>
  </si>
  <si>
    <t xml:space="preserve">Энергетика и промышленность России</t>
  </si>
  <si>
    <t xml:space="preserve">1271463PO</t>
  </si>
  <si>
    <t xml:space="preserve">  Редакция газеты "Энергетика и промышленность России"</t>
  </si>
  <si>
    <t xml:space="preserve">Энергетика. Известия высших учебных заведений и энергетических объединений СНГ</t>
  </si>
  <si>
    <t xml:space="preserve">Энергетическая политика</t>
  </si>
  <si>
    <t xml:space="preserve">ФГБУ «РЭА» Минэнерго России</t>
  </si>
  <si>
    <t xml:space="preserve">Энергия: экономика, техника, экология</t>
  </si>
  <si>
    <t xml:space="preserve">1183741PO</t>
  </si>
  <si>
    <t xml:space="preserve">Энергосберегающие технологии. Альтернативные источники энергии</t>
  </si>
  <si>
    <t xml:space="preserve">1238834PO</t>
  </si>
  <si>
    <t xml:space="preserve">Энергосбережение</t>
  </si>
  <si>
    <t xml:space="preserve">1193659PO</t>
  </si>
  <si>
    <t xml:space="preserve">Энергосбережение и водоподготовка</t>
  </si>
  <si>
    <t xml:space="preserve">1321906PO</t>
  </si>
  <si>
    <t xml:space="preserve">ФГБОУ ВО Кубанский ГАУ</t>
  </si>
  <si>
    <t xml:space="preserve">Энергохозяйство за рубежом. Приложение к журналу "Электрические станции"</t>
  </si>
  <si>
    <t xml:space="preserve">1334623PO</t>
  </si>
  <si>
    <t xml:space="preserve">Энергоэффективность. Энергоаудит</t>
  </si>
  <si>
    <t xml:space="preserve">1318955PO</t>
  </si>
  <si>
    <t xml:space="preserve">ЭНОЖ "История"</t>
  </si>
  <si>
    <t xml:space="preserve">1259552PO</t>
  </si>
  <si>
    <t xml:space="preserve">Электронный журнал</t>
  </si>
  <si>
    <t xml:space="preserve">Энтомологическое обозрение</t>
  </si>
  <si>
    <t xml:space="preserve">1183742PO</t>
  </si>
  <si>
    <t xml:space="preserve">Эпидемиология и инфекционные заболевания.Актуальные вопросы</t>
  </si>
  <si>
    <t xml:space="preserve">1244647PO</t>
  </si>
  <si>
    <t xml:space="preserve">Эпистемология и философия науки</t>
  </si>
  <si>
    <t xml:space="preserve">Эргодизайн</t>
  </si>
  <si>
    <t xml:space="preserve">1342082PO</t>
  </si>
  <si>
    <t xml:space="preserve">Этическая мысль</t>
  </si>
  <si>
    <t xml:space="preserve">Этнографическое обозрение </t>
  </si>
  <si>
    <t xml:space="preserve">47624</t>
  </si>
  <si>
    <t xml:space="preserve">Специализированный научный журнал по этнологии. Публикует статьи отечественных и зарубежных авторов по этнографии народов, актуальным этнополитическим проблемам.</t>
  </si>
  <si>
    <t xml:space="preserve">Этнопсихолингвистика</t>
  </si>
  <si>
    <t xml:space="preserve">Юго-Восточная Азия: актуальные проблемы развития</t>
  </si>
  <si>
    <t xml:space="preserve">Юность</t>
  </si>
  <si>
    <t xml:space="preserve">952745PO</t>
  </si>
  <si>
    <t xml:space="preserve">Литературный культурно-просветительский журнал для семейного чтения — проза, поэзия, публицистика.</t>
  </si>
  <si>
    <t xml:space="preserve">Юный техник</t>
  </si>
  <si>
    <t xml:space="preserve">980827PO</t>
  </si>
  <si>
    <t xml:space="preserve">Юридическая наука</t>
  </si>
  <si>
    <t xml:space="preserve">Юрисконсульт в строительстве</t>
  </si>
  <si>
    <t xml:space="preserve">1266386PO</t>
  </si>
  <si>
    <t xml:space="preserve">Юрист вуза</t>
  </si>
  <si>
    <t xml:space="preserve">Ядерная физика</t>
  </si>
  <si>
    <t xml:space="preserve">1183743PO</t>
  </si>
  <si>
    <t xml:space="preserve">Ядерная физика и инжиниринг</t>
  </si>
  <si>
    <t xml:space="preserve">1276771PO</t>
  </si>
  <si>
    <t xml:space="preserve">Язык и культура</t>
  </si>
  <si>
    <t xml:space="preserve">Языкознание (Библиографические указатели)</t>
  </si>
  <si>
    <t xml:space="preserve">1305001PO</t>
  </si>
  <si>
    <t xml:space="preserve">Языкознание (Реферативный журнал)</t>
  </si>
  <si>
    <t xml:space="preserve">1304937PO</t>
  </si>
  <si>
    <t xml:space="preserve">Ремонт &amp; Сервис </t>
  </si>
  <si>
    <t xml:space="preserve">Общество с ограниченной ответственностью "СОЛОН-Пресс"</t>
  </si>
  <si>
    <t xml:space="preserve">Плодоводство и ягодоводство России</t>
  </si>
  <si>
    <t xml:space="preserve">  Федеральный научный селекционно-технологический центр садоводства и питомниководства</t>
  </si>
  <si>
    <t xml:space="preserve">Монокль деловой</t>
  </si>
  <si>
    <t xml:space="preserve">Детские чтения</t>
  </si>
  <si>
    <t xml:space="preserve">Федеральное государственное бюджетное учреждение науки Институт русской литературы (Пушкинский Дом) Российской академии наук (ИРЛИ РАН) </t>
  </si>
  <si>
    <t xml:space="preserve">Словесность и история</t>
  </si>
  <si>
    <t xml:space="preserve">Временник Пушкинской комиссии</t>
  </si>
  <si>
    <t xml:space="preserve">Ежегодник Рукописного отдела Пушкинского Дома</t>
  </si>
  <si>
    <t xml:space="preserve">Труды Отдела древнерусской литературы</t>
  </si>
  <si>
    <t xml:space="preserve">Русский фольклор</t>
  </si>
  <si>
    <t xml:space="preserve">1 номер в 2 года</t>
  </si>
  <si>
    <t xml:space="preserve">Научно-аналитический вестник Института Европы РАН</t>
  </si>
  <si>
    <t xml:space="preserve">Федеральное государственное бюджетное учреждение науки Институт Европы Российской академии наук (ИЕ РАН)</t>
  </si>
  <si>
    <t xml:space="preserve">Аналитические записки Института Европы РАН</t>
  </si>
  <si>
    <t xml:space="preserve">Европейский Союз: факты и комментарии</t>
  </si>
  <si>
    <t xml:space="preserve">Цена за 6 мес. </t>
  </si>
  <si>
    <t xml:space="preserve">Перечень ВАК</t>
  </si>
  <si>
    <t xml:space="preserve">Financial Times</t>
  </si>
  <si>
    <t xml:space="preserve">уточнять на дату</t>
  </si>
  <si>
    <t xml:space="preserve">https://www.ft.com/</t>
  </si>
  <si>
    <t xml:space="preserve">Лондон</t>
  </si>
  <si>
    <t xml:space="preserve">Срок подписки: 12 месяцев, санкционные ограничения</t>
  </si>
  <si>
    <t xml:space="preserve">Административная практика ФАС</t>
  </si>
  <si>
    <t xml:space="preserve">Медиагруппа «Актион-МЦФЭР»</t>
  </si>
  <si>
    <t xml:space="preserve">e.faspraktika.ru </t>
  </si>
  <si>
    <t xml:space="preserve">Арбитражная практика для юристов</t>
  </si>
  <si>
    <t xml:space="preserve">http://e.arbitr-praktika.ru/</t>
  </si>
  <si>
    <t xml:space="preserve">Срок подписки: 6 мес., 12 мес.</t>
  </si>
  <si>
    <t xml:space="preserve">Безопасность компании</t>
  </si>
  <si>
    <t xml:space="preserve">1269278PO</t>
  </si>
  <si>
    <t xml:space="preserve">ООО "Директор по безопасности"</t>
  </si>
  <si>
    <t xml:space="preserve">www.sec-company.ru</t>
  </si>
  <si>
    <t xml:space="preserve">Библиотека журнала "Главбух"</t>
  </si>
  <si>
    <t xml:space="preserve">http://e.glavbukh.ru/</t>
  </si>
  <si>
    <t xml:space="preserve">Бухгалтерия ИП</t>
  </si>
  <si>
    <t xml:space="preserve">http://e.indpred.ru/</t>
  </si>
  <si>
    <t xml:space="preserve">Генеральный директор. </t>
  </si>
  <si>
    <t xml:space="preserve">http://e.gd.ru/</t>
  </si>
  <si>
    <t xml:space="preserve">Главбух</t>
  </si>
  <si>
    <t xml:space="preserve">Главная медицинская сестра</t>
  </si>
  <si>
    <t xml:space="preserve">http://e.glmedsestra.ru</t>
  </si>
  <si>
    <t xml:space="preserve">Госзаказ в вопросах и ответах</t>
  </si>
  <si>
    <t xml:space="preserve">http://e.goszakaz-vo.ru</t>
  </si>
  <si>
    <t xml:space="preserve">Госзакупки.ру Официальная информация. Письма. Комментарии</t>
  </si>
  <si>
    <t xml:space="preserve">http://e.goszakupkiru.ru</t>
  </si>
  <si>
    <t xml:space="preserve">Делопроизводство и документооборот на предприятии</t>
  </si>
  <si>
    <t xml:space="preserve">Делопресс</t>
  </si>
  <si>
    <t xml:space="preserve">Директор по безопасности</t>
  </si>
  <si>
    <t xml:space="preserve">Директор по персоналу</t>
  </si>
  <si>
    <t xml:space="preserve">1258460PO</t>
  </si>
  <si>
    <t xml:space="preserve">http://e.hr-director.ru/</t>
  </si>
  <si>
    <t xml:space="preserve">Для кадровика: Нормативные акты</t>
  </si>
  <si>
    <t xml:space="preserve">http://e.kadrovikna.ru</t>
  </si>
  <si>
    <t xml:space="preserve">Заместитель главного врача: лечебная работа и медицинская экспертиза</t>
  </si>
  <si>
    <t xml:space="preserve">https://e.zamglvracha.ru</t>
  </si>
  <si>
    <t xml:space="preserve">Зарплата</t>
  </si>
  <si>
    <t xml:space="preserve">http://e.zarp.ru/</t>
  </si>
  <si>
    <t xml:space="preserve">Зарплата в учреждении</t>
  </si>
  <si>
    <t xml:space="preserve">https://e.zpbudgetnik.ru</t>
  </si>
  <si>
    <t xml:space="preserve">Здравоохранение</t>
  </si>
  <si>
    <t xml:space="preserve">964689PO</t>
  </si>
  <si>
    <t xml:space="preserve">e.zdravohrana.ru</t>
  </si>
  <si>
    <t xml:space="preserve">Кадровая служба и управление персоналом предприятия</t>
  </si>
  <si>
    <t xml:space="preserve">Кадровое дело</t>
  </si>
  <si>
    <t xml:space="preserve">http://e.kdelo.ru/</t>
  </si>
  <si>
    <t xml:space="preserve">Казенные учреждения. Учет. Отчетность. Налогообложение</t>
  </si>
  <si>
    <t xml:space="preserve">975749PO</t>
  </si>
  <si>
    <t xml:space="preserve">https://e.kazenychet.ru</t>
  </si>
  <si>
    <t xml:space="preserve">Коммерческий директор</t>
  </si>
  <si>
    <t xml:space="preserve">http://e.kom-dir.ru/</t>
  </si>
  <si>
    <t xml:space="preserve">Конкуренция и право</t>
  </si>
  <si>
    <t xml:space="preserve">http://ku.ekiosk.pro/</t>
  </si>
  <si>
    <t xml:space="preserve">Корпоративный юрист</t>
  </si>
  <si>
    <t xml:space="preserve">964804PO</t>
  </si>
  <si>
    <t xml:space="preserve">Медицинское обслуживание и организация питания в ДОУ</t>
  </si>
  <si>
    <t xml:space="preserve">975804PO</t>
  </si>
  <si>
    <t xml:space="preserve">e.doumed.ru</t>
  </si>
  <si>
    <t xml:space="preserve">МСФО на практике</t>
  </si>
  <si>
    <t xml:space="preserve">http://msfo-practice.ru/</t>
  </si>
  <si>
    <t xml:space="preserve">Налоговед</t>
  </si>
  <si>
    <t xml:space="preserve">1257443P</t>
  </si>
  <si>
    <t xml:space="preserve">http://e.nalogoved.ru/</t>
  </si>
  <si>
    <t xml:space="preserve">Новая аптека</t>
  </si>
  <si>
    <t xml:space="preserve">975802PO</t>
  </si>
  <si>
    <t xml:space="preserve">e.novapteca.ru</t>
  </si>
  <si>
    <t xml:space="preserve">Сайт E-издания: http://na.ekiosk.pro/</t>
  </si>
  <si>
    <t xml:space="preserve">Нормативные акты по охране труда</t>
  </si>
  <si>
    <t xml:space="preserve">975751PO</t>
  </si>
  <si>
    <t xml:space="preserve">e.otrudna.ru</t>
  </si>
  <si>
    <t xml:space="preserve">Нормативные документы образовательного учреждения</t>
  </si>
  <si>
    <t xml:space="preserve">975758PO</t>
  </si>
  <si>
    <t xml:space="preserve">e.normobr.ru</t>
  </si>
  <si>
    <t xml:space="preserve">Охрана труда в вопросах и ответах</t>
  </si>
  <si>
    <t xml:space="preserve">975760PO</t>
  </si>
  <si>
    <t xml:space="preserve">e.ototvet.ru</t>
  </si>
  <si>
    <t xml:space="preserve">Поставщик: все для тендеров</t>
  </si>
  <si>
    <t xml:space="preserve">1306913PO</t>
  </si>
  <si>
    <t xml:space="preserve">e.pro-tender24.ru</t>
  </si>
  <si>
    <t xml:space="preserve">Правовые вопросы в здравоохранении</t>
  </si>
  <si>
    <t xml:space="preserve">975762PO</t>
  </si>
  <si>
    <t xml:space="preserve">e.zdravpravo.ru</t>
  </si>
  <si>
    <t xml:space="preserve">Сайт E-издания: http://pvz.ekiosk.pro/</t>
  </si>
  <si>
    <t xml:space="preserve">Практикующие врачи лучевой и функциональной диагностики</t>
  </si>
  <si>
    <t xml:space="preserve">e.ci-practice.ru</t>
  </si>
  <si>
    <t xml:space="preserve">Практикующий гинеколог</t>
  </si>
  <si>
    <t xml:space="preserve">e.gyn-practice.ru </t>
  </si>
  <si>
    <t xml:space="preserve">Практикующий дерматовенеролог</t>
  </si>
  <si>
    <t xml:space="preserve">e.derma-practice.ru</t>
  </si>
  <si>
    <t xml:space="preserve">Практикующий кардиолог</t>
  </si>
  <si>
    <t xml:space="preserve">e.cardio-practice.ru </t>
  </si>
  <si>
    <t xml:space="preserve">Практикующий невролог</t>
  </si>
  <si>
    <t xml:space="preserve">e.neuro-practice.ru</t>
  </si>
  <si>
    <t xml:space="preserve">Практикующий офтальмолог</t>
  </si>
  <si>
    <t xml:space="preserve">e.ophtalm-practice.ru</t>
  </si>
  <si>
    <t xml:space="preserve">Практикующий педиатр</t>
  </si>
  <si>
    <t xml:space="preserve">e.pediatry-practice.ru </t>
  </si>
  <si>
    <t xml:space="preserve">Практикующий психиатр и психолог</t>
  </si>
  <si>
    <t xml:space="preserve">e.onco-practice.ru</t>
  </si>
  <si>
    <t xml:space="preserve">Практикующий стоматолог</t>
  </si>
  <si>
    <t xml:space="preserve">e.dentist-practice.ru</t>
  </si>
  <si>
    <t xml:space="preserve">Практикующий терапевт</t>
  </si>
  <si>
    <t xml:space="preserve">e.gp-practice.ru/</t>
  </si>
  <si>
    <t xml:space="preserve">Практическое налоговое планирование</t>
  </si>
  <si>
    <t xml:space="preserve">http://e.nalogplan.ru/</t>
  </si>
  <si>
    <t xml:space="preserve">Российский налоговый курьер</t>
  </si>
  <si>
    <t xml:space="preserve">1257444P</t>
  </si>
  <si>
    <t xml:space="preserve">http://e.rnk.ru/</t>
  </si>
  <si>
    <t xml:space="preserve">Справочник заведующего клинико-диагностической лабораторией</t>
  </si>
  <si>
    <t xml:space="preserve">975770PO</t>
  </si>
  <si>
    <t xml:space="preserve">e.zavkdl.ru</t>
  </si>
  <si>
    <t xml:space="preserve">Сайт E-издания: http://kdl.ekiosk.pro/</t>
  </si>
  <si>
    <t xml:space="preserve">Справочник заместителя директора школы</t>
  </si>
  <si>
    <t xml:space="preserve">975771PO</t>
  </si>
  <si>
    <t xml:space="preserve">e.zamdirobr.ru</t>
  </si>
  <si>
    <t xml:space="preserve">Сайт E-издания: </t>
  </si>
  <si>
    <t xml:space="preserve">Справочник кадровика</t>
  </si>
  <si>
    <t xml:space="preserve">935411PO</t>
  </si>
  <si>
    <t xml:space="preserve">e.spravkadrovika.ru</t>
  </si>
  <si>
    <t xml:space="preserve">Сайт E-издания: http://sk.ekiosk.pro/</t>
  </si>
  <si>
    <t xml:space="preserve">Справочник классного руководителя</t>
  </si>
  <si>
    <t xml:space="preserve">975772PO</t>
  </si>
  <si>
    <t xml:space="preserve">e.klass-ruk.ru</t>
  </si>
  <si>
    <t xml:space="preserve">Сайт E-издания: http://skr.ekiosk.pro/</t>
  </si>
  <si>
    <t xml:space="preserve">Справочник медсестры</t>
  </si>
  <si>
    <t xml:space="preserve">-</t>
  </si>
  <si>
    <t xml:space="preserve">e.medsbook.ru</t>
  </si>
  <si>
    <t xml:space="preserve">Справочник музыкального руководителя</t>
  </si>
  <si>
    <t xml:space="preserve">975774PO</t>
  </si>
  <si>
    <t xml:space="preserve">e.muz-ruk.ru</t>
  </si>
  <si>
    <t xml:space="preserve">Справочник педагога-психолога. Детский сад</t>
  </si>
  <si>
    <t xml:space="preserve">975769PO</t>
  </si>
  <si>
    <t xml:space="preserve">e.psihologsad.ru</t>
  </si>
  <si>
    <t xml:space="preserve">Сайт E-издания: http://spp-dou.ekiosk.pro/</t>
  </si>
  <si>
    <t xml:space="preserve">Справочник педагога-психолога. Школа</t>
  </si>
  <si>
    <t xml:space="preserve">975768PO</t>
  </si>
  <si>
    <t xml:space="preserve">e.psihologsh.ru</t>
  </si>
  <si>
    <t xml:space="preserve">Справочник руководителя дошкольного учреждения</t>
  </si>
  <si>
    <t xml:space="preserve">975791PO</t>
  </si>
  <si>
    <t xml:space="preserve">e.rukdobra.ru</t>
  </si>
  <si>
    <t xml:space="preserve">Сайт E-издания: http://srdu.ekiosk.pro/</t>
  </si>
  <si>
    <t xml:space="preserve">Справочник руководителя образовательного учреждения</t>
  </si>
  <si>
    <t xml:space="preserve">939271PO</t>
  </si>
  <si>
    <t xml:space="preserve">e.rukobr.ru</t>
  </si>
  <si>
    <t xml:space="preserve">Журнал "Справочник руководителя образовательного учреждения" является ведущим специализированным изданием по административно-хозяйственным вопросам и управлению для директора школы. </t>
  </si>
  <si>
    <t xml:space="preserve">Справочник руководителя учреждения культуры</t>
  </si>
  <si>
    <t xml:space="preserve">941399PO</t>
  </si>
  <si>
    <t xml:space="preserve">e.rukulturi.ru</t>
  </si>
  <si>
    <t xml:space="preserve">Справочник специалиста по охране труда</t>
  </si>
  <si>
    <t xml:space="preserve">959099PO</t>
  </si>
  <si>
    <t xml:space="preserve">e.sotruda.ru</t>
  </si>
  <si>
    <t xml:space="preserve">Сайт E-издания: http://ssot.ekiosk.pro/ Cправочное профессиональное издание для руководителей предприятий, инженеров и специалистов охраны труда, обучающее методам организации работ по охране труда, оперативно реагирующий на изменение системы охраны труда в РФ, а также разъясняющее спорные вопросы законодательства.</t>
  </si>
  <si>
    <t xml:space="preserve">Справочник старшего воспитателя дошкольного учреждения</t>
  </si>
  <si>
    <t xml:space="preserve">975793PO</t>
  </si>
  <si>
    <t xml:space="preserve">e.stvospitatel.ru</t>
  </si>
  <si>
    <t xml:space="preserve">Трудовые споры</t>
  </si>
  <si>
    <t xml:space="preserve">1152427PO</t>
  </si>
  <si>
    <t xml:space="preserve">http://e.tspor.ru/</t>
  </si>
  <si>
    <t xml:space="preserve">Уголовный процесс</t>
  </si>
  <si>
    <t xml:space="preserve">1152421PO</t>
  </si>
  <si>
    <t xml:space="preserve">http://e.ugpr.ru/</t>
  </si>
  <si>
    <t xml:space="preserve">Управление качеством в здравоохранении</t>
  </si>
  <si>
    <t xml:space="preserve">1159371PO</t>
  </si>
  <si>
    <t xml:space="preserve">https://e.uprzdrav.ru</t>
  </si>
  <si>
    <t xml:space="preserve">Управление начальной школой</t>
  </si>
  <si>
    <t xml:space="preserve">975795PO</t>
  </si>
  <si>
    <t xml:space="preserve">e.nshkoli.ru</t>
  </si>
  <si>
    <t xml:space="preserve">Сайт E-издания: http://unsh.ekiosk.pro/</t>
  </si>
  <si>
    <t xml:space="preserve">Управление образовательным учреждением в вопросах и ответах</t>
  </si>
  <si>
    <t xml:space="preserve">975797PO</t>
  </si>
  <si>
    <t xml:space="preserve">e.obrotvet.ru</t>
  </si>
  <si>
    <t xml:space="preserve">Упрощенка</t>
  </si>
  <si>
    <t xml:space="preserve">http://e.26-2.ru/</t>
  </si>
  <si>
    <t xml:space="preserve">Учет в учреждении</t>
  </si>
  <si>
    <t xml:space="preserve">1228367PO</t>
  </si>
  <si>
    <t xml:space="preserve">http://e.obrychet.ru/</t>
  </si>
  <si>
    <t xml:space="preserve">Текущий год</t>
  </si>
  <si>
    <t xml:space="preserve">Сайт E-издания: http://e.budgetnik.ru/</t>
  </si>
  <si>
    <t xml:space="preserve">Учет. Налоги. Право</t>
  </si>
  <si>
    <t xml:space="preserve">1172456PO</t>
  </si>
  <si>
    <t xml:space="preserve">http://e.gazeta-unp.ru/</t>
  </si>
  <si>
    <t xml:space="preserve">Финансовый директор</t>
  </si>
  <si>
    <t xml:space="preserve">1185970PO</t>
  </si>
  <si>
    <t xml:space="preserve">http://e.fd.ru/</t>
  </si>
  <si>
    <t xml:space="preserve">Химия и технология топлив и масел</t>
  </si>
  <si>
    <t xml:space="preserve">«Международный центр науки и технологий «ТУМА ГРУПП»</t>
  </si>
  <si>
    <t xml:space="preserve">Экономика железных дорог</t>
  </si>
  <si>
    <t xml:space="preserve">964802PO</t>
  </si>
  <si>
    <t xml:space="preserve">https://profkiosk.ru/ </t>
  </si>
  <si>
    <t xml:space="preserve">Ежемесячный журнал для руководителей и финансово-экономических работников железнодорожной отрасли.</t>
  </si>
  <si>
    <t xml:space="preserve">Экономика и жизнь (с приложениями)</t>
  </si>
  <si>
    <t xml:space="preserve">12680</t>
  </si>
  <si>
    <t xml:space="preserve">ООО «Экономикс Медиа»</t>
  </si>
  <si>
    <t xml:space="preserve">Экономика ЛПУ в вопросах и ответах</t>
  </si>
  <si>
    <t xml:space="preserve">975800PO</t>
  </si>
  <si>
    <t xml:space="preserve">e.economlpu.ru</t>
  </si>
  <si>
    <t xml:space="preserve">Юридический справочник руководителя</t>
  </si>
  <si>
    <t xml:space="preserve"> </t>
  </si>
  <si>
    <t xml:space="preserve">Юрист компании</t>
  </si>
  <si>
    <t xml:space="preserve">1269640PO</t>
  </si>
  <si>
    <t xml:space="preserve">http://e.lawyercom.ru/</t>
  </si>
  <si>
    <t xml:space="preserve">Промышленное и гражданское строительство</t>
  </si>
  <si>
    <t xml:space="preserve">ООО "Издательство ПГС"</t>
  </si>
  <si>
    <t xml:space="preserve">Издательство высылает PDF-версию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</si>
</sst>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-* #,##0.00&quot;р.&quot;_-;\-* #,##0.00&quot;р.&quot;_-;_-* \-??&quot;р.&quot;_-;_-@_-"/>
    <numFmt numFmtId="167" formatCode="_-* #,##0.00_р_._-;\-* #,##0.00_р_._-;_-* \-??_р_._-;_-@_-"/>
    <numFmt numFmtId="168" formatCode="_-* #,##0.00\ _₽_-;\-* #,##0.00\ _₽_-;_-* \-??\ _₽_-;_-@_-"/>
    <numFmt numFmtId="169" formatCode="DD/MM/YYYY"/>
    <numFmt numFmtId="170" formatCode="0.00"/>
  </numFmts>
  <fonts count="62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204"/>
    </font>
    <font>
      <sz val="12"/>
      <color rgb="FFFFFFFF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204"/>
    </font>
    <font>
      <sz val="12"/>
      <color rgb="FF333399"/>
      <name val="Arial"/>
      <family val="2"/>
      <charset val="204"/>
    </font>
    <font>
      <b val="true"/>
      <sz val="12"/>
      <color rgb="FF333333"/>
      <name val="Arial"/>
      <family val="2"/>
      <charset val="204"/>
    </font>
    <font>
      <b val="true"/>
      <sz val="12"/>
      <color rgb="FFFF9900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u val="single"/>
      <sz val="9"/>
      <color rgb="FF0000FF"/>
      <name val="MS Sans Serif"/>
      <family val="2"/>
      <charset val="204"/>
    </font>
    <font>
      <b val="true"/>
      <sz val="15"/>
      <color rgb="FF003366"/>
      <name val="Arial"/>
      <family val="2"/>
      <charset val="204"/>
    </font>
    <font>
      <b val="true"/>
      <sz val="13"/>
      <color rgb="FF003366"/>
      <name val="Arial"/>
      <family val="2"/>
      <charset val="204"/>
    </font>
    <font>
      <b val="true"/>
      <sz val="11"/>
      <color rgb="FF003366"/>
      <name val="Arial"/>
      <family val="2"/>
      <charset val="204"/>
    </font>
    <font>
      <b val="true"/>
      <sz val="12"/>
      <color rgb="FF000000"/>
      <name val="Arial"/>
      <family val="2"/>
      <charset val="204"/>
    </font>
    <font>
      <b val="true"/>
      <sz val="12"/>
      <color rgb="FFFFFFFF"/>
      <name val="Arial"/>
      <family val="2"/>
      <charset val="204"/>
    </font>
    <font>
      <b val="true"/>
      <sz val="18"/>
      <color rgb="FF003366"/>
      <name val="Cambria"/>
      <family val="2"/>
      <charset val="204"/>
    </font>
    <font>
      <sz val="12"/>
      <color rgb="FF993300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rgb="FF000000"/>
      <name val="Calibri"/>
      <family val="2"/>
      <charset val="204"/>
    </font>
    <font>
      <sz val="12"/>
      <color rgb="FF800080"/>
      <name val="Arial"/>
      <family val="2"/>
      <charset val="204"/>
    </font>
    <font>
      <i val="true"/>
      <sz val="12"/>
      <color rgb="FF808080"/>
      <name val="Arial"/>
      <family val="2"/>
      <charset val="204"/>
    </font>
    <font>
      <sz val="12"/>
      <color rgb="FFFF99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008000"/>
      <name val="Arial"/>
      <family val="2"/>
      <charset val="204"/>
    </font>
    <font>
      <sz val="11"/>
      <color rgb="FF006100"/>
      <name val="Calibri"/>
      <family val="2"/>
      <charset val="204"/>
    </font>
    <font>
      <sz val="11"/>
      <name val="Arial Cyr"/>
      <family val="0"/>
      <charset val="204"/>
    </font>
    <font>
      <sz val="8"/>
      <name val="Arial Cyr"/>
      <family val="0"/>
      <charset val="204"/>
    </font>
    <font>
      <b val="true"/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i val="true"/>
      <sz val="11"/>
      <name val="Arial Cyr"/>
      <family val="0"/>
      <charset val="204"/>
    </font>
    <font>
      <i val="true"/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u val="single"/>
      <sz val="10"/>
      <color rgb="FF0000FF"/>
      <name val="Arial Cyr"/>
      <family val="0"/>
      <charset val="1"/>
    </font>
    <font>
      <b val="true"/>
      <sz val="11"/>
      <name val="Bookman Old Style"/>
      <family val="1"/>
      <charset val="204"/>
    </font>
    <font>
      <sz val="9"/>
      <name val="Arial Cyr"/>
      <family val="0"/>
      <charset val="204"/>
    </font>
    <font>
      <b val="true"/>
      <sz val="11"/>
      <color rgb="FF002060"/>
      <name val="Times New Roman"/>
      <family val="1"/>
      <charset val="204"/>
    </font>
    <font>
      <sz val="9"/>
      <color rgb="FF000000"/>
      <name val="Calibri"/>
      <family val="2"/>
      <charset val="204"/>
    </font>
    <font>
      <b val="true"/>
      <sz val="11"/>
      <color rgb="FF7030A0"/>
      <name val="Times New Roman"/>
      <family val="1"/>
      <charset val="204"/>
    </font>
    <font>
      <b val="true"/>
      <i val="true"/>
      <sz val="11"/>
      <name val="Arial Cyr"/>
      <family val="0"/>
      <charset val="204"/>
    </font>
    <font>
      <sz val="9"/>
      <color rgb="FF000000"/>
      <name val="Arial"/>
      <family val="2"/>
      <charset val="204"/>
    </font>
    <font>
      <i val="true"/>
      <sz val="10"/>
      <name val="Arial"/>
      <family val="2"/>
      <charset val="204"/>
    </font>
    <font>
      <i val="true"/>
      <sz val="9"/>
      <name val="Arial Cyr"/>
      <family val="0"/>
      <charset val="204"/>
    </font>
    <font>
      <b val="true"/>
      <i val="true"/>
      <sz val="11"/>
      <color rgb="FFFF0000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b val="true"/>
      <i val="true"/>
      <sz val="11"/>
      <color rgb="FFFF0000"/>
      <name val="Times New Roman"/>
      <family val="1"/>
      <charset val="204"/>
    </font>
    <font>
      <b val="true"/>
      <sz val="11"/>
      <color rgb="FFFF0000"/>
      <name val="Arial Cyr"/>
      <family val="0"/>
      <charset val="204"/>
    </font>
    <font>
      <b val="true"/>
      <sz val="11"/>
      <color rgb="FFFF0000"/>
      <name val="Times New Roman"/>
      <family val="1"/>
      <charset val="204"/>
    </font>
    <font>
      <b val="true"/>
      <u val="single"/>
      <sz val="10"/>
      <color rgb="FFFF0000"/>
      <name val="Arial Cyr"/>
      <family val="0"/>
      <charset val="1"/>
    </font>
    <font>
      <b val="true"/>
      <sz val="11"/>
      <color rgb="FFFF0000"/>
      <name val="Bookman Old Style"/>
      <family val="1"/>
      <charset val="204"/>
    </font>
    <font>
      <b val="true"/>
      <sz val="10"/>
      <color rgb="FFFF0000"/>
      <name val="Arial"/>
      <family val="2"/>
      <charset val="204"/>
    </font>
    <font>
      <b val="true"/>
      <sz val="9"/>
      <color rgb="FFFF0000"/>
      <name val="Arial Cyr"/>
      <family val="0"/>
      <charset val="204"/>
    </font>
    <font>
      <i val="true"/>
      <sz val="11"/>
      <color rgb="FFFF0000"/>
      <name val="Arial Cyr"/>
      <family val="0"/>
      <charset val="204"/>
    </font>
    <font>
      <sz val="10"/>
      <color rgb="FFFF0000"/>
      <name val="Arial Cyr"/>
      <family val="0"/>
      <charset val="204"/>
    </font>
    <font>
      <i val="true"/>
      <sz val="11"/>
      <color rgb="FFFF0000"/>
      <name val="Times New Roman"/>
      <family val="1"/>
      <charset val="204"/>
    </font>
    <font>
      <sz val="11"/>
      <color rgb="FFFF0000"/>
      <name val="Arial Cyr"/>
      <family val="0"/>
      <charset val="204"/>
    </font>
    <font>
      <b val="true"/>
      <sz val="12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6EFCE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4F81BD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6EFCE"/>
        <bgColor rgb="FFCCFFCC"/>
      </patternFill>
    </fill>
    <fill>
      <patternFill patternType="solid">
        <fgColor rgb="FF00FFFF"/>
        <bgColor rgb="FF00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8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1" applyFont="true" applyBorder="true" applyAlignment="true" applyProtection="false">
      <alignment horizontal="general" vertical="bottom" textRotation="0" wrapText="false" indent="0" shrinkToFit="false"/>
    </xf>
    <xf numFmtId="164" fontId="9" fillId="21" borderId="2" applyFont="true" applyBorder="true" applyAlignment="true" applyProtection="false">
      <alignment horizontal="general" vertical="bottom" textRotation="0" wrapText="false" indent="0" shrinkToFit="false"/>
    </xf>
    <xf numFmtId="164" fontId="10" fillId="21" borderId="1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3" applyFont="true" applyBorder="tru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7" fillId="22" borderId="7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23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8" applyFont="true" applyBorder="true" applyAlignment="true" applyProtection="false">
      <alignment horizontal="general" vertical="bottom" textRotation="0" wrapText="false" indent="0" shrinkToFit="false"/>
    </xf>
    <xf numFmtId="164" fontId="25" fillId="0" borderId="9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" borderId="0" applyFont="true" applyBorder="false" applyAlignment="true" applyProtection="false">
      <alignment horizontal="general" vertical="bottom" textRotation="0" wrapText="false" indent="0" shrinkToFit="false"/>
    </xf>
    <xf numFmtId="164" fontId="28" fillId="25" borderId="0" applyFont="true" applyBorder="fals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1" fillId="2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2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0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0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2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2" fillId="0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1" fillId="0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1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2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6" fillId="0" borderId="10" xfId="5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0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2" xfId="21"/>
    <cellStyle name="20% - Акцент2 2" xfId="22"/>
    <cellStyle name="20% - Акцент3 2" xfId="23"/>
    <cellStyle name="20% - Акцент4 2" xfId="24"/>
    <cellStyle name="20% - Акцент5 2" xfId="25"/>
    <cellStyle name="20% - Акцент6 2" xfId="26"/>
    <cellStyle name="40% - Акцент1 2" xfId="27"/>
    <cellStyle name="40% - Акцент2 2" xfId="28"/>
    <cellStyle name="40% - Акцент3 2" xfId="29"/>
    <cellStyle name="40% - Акцент4 2" xfId="30"/>
    <cellStyle name="40% - Акцент5 2" xfId="31"/>
    <cellStyle name="40% - Акцент6 2" xfId="32"/>
    <cellStyle name="60% - Акцент1 2" xfId="33"/>
    <cellStyle name="60% - Акцент2 2" xfId="34"/>
    <cellStyle name="60% - Акцент3 2" xfId="35"/>
    <cellStyle name="60% - Акцент4 2" xfId="36"/>
    <cellStyle name="60% - Акцент5 2" xfId="37"/>
    <cellStyle name="60% - Акцент6 2" xfId="38"/>
    <cellStyle name="Normal" xfId="39"/>
    <cellStyle name="Акцент1 2" xfId="40"/>
    <cellStyle name="Акцент1 3" xfId="41"/>
    <cellStyle name="Акцент2 2" xfId="42"/>
    <cellStyle name="Акцент3 2" xfId="43"/>
    <cellStyle name="Акцент4 2" xfId="44"/>
    <cellStyle name="Акцент5 2" xfId="45"/>
    <cellStyle name="Акцент6 2" xfId="46"/>
    <cellStyle name="Ввод  2" xfId="47"/>
    <cellStyle name="Вывод 2" xfId="48"/>
    <cellStyle name="Вычисление 2" xfId="49"/>
    <cellStyle name="Гиперссылка 2" xfId="50"/>
    <cellStyle name="Гиперссылка 3" xfId="51"/>
    <cellStyle name="Денежный 2" xfId="52"/>
    <cellStyle name="Денежный 3" xfId="53"/>
    <cellStyle name="Денежный 4" xfId="54"/>
    <cellStyle name="Заголовок 1 2" xfId="55"/>
    <cellStyle name="Заголовок 2 2" xfId="56"/>
    <cellStyle name="Заголовок 3 2" xfId="57"/>
    <cellStyle name="Заголовок 4 2" xfId="58"/>
    <cellStyle name="Итог 2" xfId="59"/>
    <cellStyle name="Контрольная ячейка 2" xfId="60"/>
    <cellStyle name="Название 2" xfId="61"/>
    <cellStyle name="Нейтральный 2" xfId="62"/>
    <cellStyle name="Обычный 2" xfId="63"/>
    <cellStyle name="Обычный 2 2" xfId="64"/>
    <cellStyle name="Обычный 2 3" xfId="65"/>
    <cellStyle name="Обычный 3" xfId="66"/>
    <cellStyle name="Обычный 3 2" xfId="67"/>
    <cellStyle name="Обычный 4" xfId="68"/>
    <cellStyle name="Обычный 4 2" xfId="69"/>
    <cellStyle name="Обычный 5" xfId="70"/>
    <cellStyle name="Обычный 6" xfId="71"/>
    <cellStyle name="Плохой 2" xfId="72"/>
    <cellStyle name="Пояснение 2" xfId="73"/>
    <cellStyle name="Примечание 2" xfId="74"/>
    <cellStyle name="Связанная ячейка 2" xfId="75"/>
    <cellStyle name="Текст предупреждения 2" xfId="76"/>
    <cellStyle name="Финансовый 2" xfId="77"/>
    <cellStyle name="Финансовый 2 2" xfId="78"/>
    <cellStyle name="Хороший 2" xfId="79"/>
    <cellStyle name="Хороший 3" xfId="80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FC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61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9360</xdr:colOff>
      <xdr:row>12487</xdr:row>
      <xdr:rowOff>85680</xdr:rowOff>
    </xdr:from>
    <xdr:to>
      <xdr:col>1</xdr:col>
      <xdr:colOff>247320</xdr:colOff>
      <xdr:row>12488</xdr:row>
      <xdr:rowOff>123840</xdr:rowOff>
    </xdr:to>
    <xdr:pic>
      <xdr:nvPicPr>
        <xdr:cNvPr id="0" name="Picture 8" descr=""/>
        <xdr:cNvPicPr/>
      </xdr:nvPicPr>
      <xdr:blipFill>
        <a:blip r:embed="rId1"/>
        <a:stretch/>
      </xdr:blipFill>
      <xdr:spPr>
        <a:xfrm>
          <a:off x="4430520" y="2814570720"/>
          <a:ext cx="237960" cy="213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9360</xdr:colOff>
      <xdr:row>8091</xdr:row>
      <xdr:rowOff>57240</xdr:rowOff>
    </xdr:from>
    <xdr:to>
      <xdr:col>1</xdr:col>
      <xdr:colOff>247320</xdr:colOff>
      <xdr:row>8092</xdr:row>
      <xdr:rowOff>95400</xdr:rowOff>
    </xdr:to>
    <xdr:pic>
      <xdr:nvPicPr>
        <xdr:cNvPr id="1" name="Picture 11" descr=""/>
        <xdr:cNvPicPr/>
      </xdr:nvPicPr>
      <xdr:blipFill>
        <a:blip r:embed="rId2"/>
        <a:stretch/>
      </xdr:blipFill>
      <xdr:spPr>
        <a:xfrm>
          <a:off x="4430520" y="2044099080"/>
          <a:ext cx="237960" cy="213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lib.eastview.com/" TargetMode="External"/><Relationship Id="rId2" Type="http://schemas.openxmlformats.org/officeDocument/2006/relationships/hyperlink" Target="https://dlib.eastview.com/" TargetMode="External"/><Relationship Id="rId3" Type="http://schemas.openxmlformats.org/officeDocument/2006/relationships/hyperlink" Target="http://www.panor.ru/" TargetMode="External"/><Relationship Id="rId4" Type="http://schemas.openxmlformats.org/officeDocument/2006/relationships/hyperlink" Target="https://dlib.eastview.com/" TargetMode="External"/><Relationship Id="rId5" Type="http://schemas.openxmlformats.org/officeDocument/2006/relationships/hyperlink" Target="https://dlib.eastview.com/" TargetMode="External"/><Relationship Id="rId6" Type="http://schemas.openxmlformats.org/officeDocument/2006/relationships/hyperlink" Target="https://dlib.eastview.com/" TargetMode="External"/><Relationship Id="rId7" Type="http://schemas.openxmlformats.org/officeDocument/2006/relationships/hyperlink" Target="http://www.panor.ru/" TargetMode="External"/><Relationship Id="rId8" Type="http://schemas.openxmlformats.org/officeDocument/2006/relationships/hyperlink" Target="https://dlib.eastview.com/" TargetMode="External"/><Relationship Id="rId9" Type="http://schemas.openxmlformats.org/officeDocument/2006/relationships/hyperlink" Target="https://dlib.eastview.com/" TargetMode="External"/><Relationship Id="rId10" Type="http://schemas.openxmlformats.org/officeDocument/2006/relationships/hyperlink" Target="https://dlib.eastview.com/" TargetMode="External"/><Relationship Id="rId11" Type="http://schemas.openxmlformats.org/officeDocument/2006/relationships/hyperlink" Target="https://dlib.eastview.com/" TargetMode="External"/><Relationship Id="rId12" Type="http://schemas.openxmlformats.org/officeDocument/2006/relationships/hyperlink" Target="https://dlib.eastview.com/" TargetMode="External"/><Relationship Id="rId13" Type="http://schemas.openxmlformats.org/officeDocument/2006/relationships/hyperlink" Target="https://dlib.eastview.com/" TargetMode="External"/><Relationship Id="rId14" Type="http://schemas.openxmlformats.org/officeDocument/2006/relationships/hyperlink" Target="https://dlib.eastview.com/" TargetMode="External"/><Relationship Id="rId15" Type="http://schemas.openxmlformats.org/officeDocument/2006/relationships/hyperlink" Target="https://dlib.eastview.com/" TargetMode="External"/><Relationship Id="rId16" Type="http://schemas.openxmlformats.org/officeDocument/2006/relationships/hyperlink" Target="https://dlib.eastview.com/" TargetMode="External"/><Relationship Id="rId17" Type="http://schemas.openxmlformats.org/officeDocument/2006/relationships/hyperlink" Target="https://dlib.eastview.com/" TargetMode="External"/><Relationship Id="rId18" Type="http://schemas.openxmlformats.org/officeDocument/2006/relationships/hyperlink" Target="https://dlib.eastview.com/" TargetMode="External"/><Relationship Id="rId19" Type="http://schemas.openxmlformats.org/officeDocument/2006/relationships/hyperlink" Target="https://dlib.eastview.com/" TargetMode="External"/><Relationship Id="rId20" Type="http://schemas.openxmlformats.org/officeDocument/2006/relationships/hyperlink" Target="https://dlib.eastview.com/" TargetMode="External"/><Relationship Id="rId21" Type="http://schemas.openxmlformats.org/officeDocument/2006/relationships/hyperlink" Target="https://dlib.eastview.com/" TargetMode="External"/><Relationship Id="rId22" Type="http://schemas.openxmlformats.org/officeDocument/2006/relationships/hyperlink" Target="https://dlib.eastview.com/" TargetMode="External"/><Relationship Id="rId23" Type="http://schemas.openxmlformats.org/officeDocument/2006/relationships/hyperlink" Target="https://dlib.eastview.com/" TargetMode="External"/><Relationship Id="rId24" Type="http://schemas.openxmlformats.org/officeDocument/2006/relationships/hyperlink" Target="https://dlib.eastview.com/" TargetMode="External"/><Relationship Id="rId25" Type="http://schemas.openxmlformats.org/officeDocument/2006/relationships/hyperlink" Target="https://dlib.eastview.com/" TargetMode="External"/><Relationship Id="rId26" Type="http://schemas.openxmlformats.org/officeDocument/2006/relationships/hyperlink" Target="https://dlib.eastview.com/" TargetMode="External"/><Relationship Id="rId27" Type="http://schemas.openxmlformats.org/officeDocument/2006/relationships/hyperlink" Target="https://dlib.eastview.com/" TargetMode="External"/><Relationship Id="rId28" Type="http://schemas.openxmlformats.org/officeDocument/2006/relationships/hyperlink" Target="https://dlib.eastview.com/" TargetMode="External"/><Relationship Id="rId29" Type="http://schemas.openxmlformats.org/officeDocument/2006/relationships/hyperlink" Target="https://dlib.eastview.com/" TargetMode="External"/><Relationship Id="rId30" Type="http://schemas.openxmlformats.org/officeDocument/2006/relationships/hyperlink" Target="https://dlib.eastview.com/" TargetMode="External"/><Relationship Id="rId31" Type="http://schemas.openxmlformats.org/officeDocument/2006/relationships/hyperlink" Target="https://dlib.eastview.com/" TargetMode="External"/><Relationship Id="rId32" Type="http://schemas.openxmlformats.org/officeDocument/2006/relationships/hyperlink" Target="https://dlib.eastview.com/" TargetMode="External"/><Relationship Id="rId33" Type="http://schemas.openxmlformats.org/officeDocument/2006/relationships/hyperlink" Target="https://dlib.eastview.com/" TargetMode="External"/><Relationship Id="rId34" Type="http://schemas.openxmlformats.org/officeDocument/2006/relationships/hyperlink" Target="https://dlib.eastview.com/" TargetMode="External"/><Relationship Id="rId35" Type="http://schemas.openxmlformats.org/officeDocument/2006/relationships/hyperlink" Target="https://dlib.eastview.com/" TargetMode="External"/><Relationship Id="rId36" Type="http://schemas.openxmlformats.org/officeDocument/2006/relationships/hyperlink" Target="https://dlib.eastview.com/" TargetMode="External"/><Relationship Id="rId37" Type="http://schemas.openxmlformats.org/officeDocument/2006/relationships/hyperlink" Target="https://dlib.eastview.com/" TargetMode="External"/><Relationship Id="rId38" Type="http://schemas.openxmlformats.org/officeDocument/2006/relationships/hyperlink" Target="https://dlib.eastview.com/" TargetMode="External"/><Relationship Id="rId39" Type="http://schemas.openxmlformats.org/officeDocument/2006/relationships/hyperlink" Target="https://dlib.eastview.com/" TargetMode="External"/><Relationship Id="rId40" Type="http://schemas.openxmlformats.org/officeDocument/2006/relationships/hyperlink" Target="https://dlib.eastview.com/" TargetMode="External"/><Relationship Id="rId41" Type="http://schemas.openxmlformats.org/officeDocument/2006/relationships/hyperlink" Target="https://dlib.eastview.com/" TargetMode="External"/><Relationship Id="rId42" Type="http://schemas.openxmlformats.org/officeDocument/2006/relationships/hyperlink" Target="https://dlib.eastview.com/" TargetMode="External"/><Relationship Id="rId43" Type="http://schemas.openxmlformats.org/officeDocument/2006/relationships/hyperlink" Target="https://dlib.eastview.com/" TargetMode="External"/><Relationship Id="rId44" Type="http://schemas.openxmlformats.org/officeDocument/2006/relationships/hyperlink" Target="https://dlib.eastview.com/" TargetMode="External"/><Relationship Id="rId45" Type="http://schemas.openxmlformats.org/officeDocument/2006/relationships/hyperlink" Target="https://dlib.eastview.com/" TargetMode="External"/><Relationship Id="rId46" Type="http://schemas.openxmlformats.org/officeDocument/2006/relationships/hyperlink" Target="http://www.panor.ru/" TargetMode="External"/><Relationship Id="rId47" Type="http://schemas.openxmlformats.org/officeDocument/2006/relationships/hyperlink" Target="https://dlib.eastview.com/" TargetMode="External"/><Relationship Id="rId48" Type="http://schemas.openxmlformats.org/officeDocument/2006/relationships/hyperlink" Target="https://dlib.eastview.com/" TargetMode="External"/><Relationship Id="rId49" Type="http://schemas.openxmlformats.org/officeDocument/2006/relationships/hyperlink" Target="https://dlib.eastview.com/" TargetMode="External"/><Relationship Id="rId50" Type="http://schemas.openxmlformats.org/officeDocument/2006/relationships/hyperlink" Target="https://dlib.eastview.com/" TargetMode="External"/><Relationship Id="rId51" Type="http://schemas.openxmlformats.org/officeDocument/2006/relationships/hyperlink" Target="https://dlib.eastview.com/" TargetMode="External"/><Relationship Id="rId52" Type="http://schemas.openxmlformats.org/officeDocument/2006/relationships/hyperlink" Target="https://dlib.eastview.com/" TargetMode="External"/><Relationship Id="rId53" Type="http://schemas.openxmlformats.org/officeDocument/2006/relationships/hyperlink" Target="https://dlib.eastview.com/" TargetMode="External"/><Relationship Id="rId54" Type="http://schemas.openxmlformats.org/officeDocument/2006/relationships/hyperlink" Target="https://dlib.eastview.com/" TargetMode="External"/><Relationship Id="rId55" Type="http://schemas.openxmlformats.org/officeDocument/2006/relationships/hyperlink" Target="https://dlib.eastview.com/" TargetMode="External"/><Relationship Id="rId56" Type="http://schemas.openxmlformats.org/officeDocument/2006/relationships/hyperlink" Target="https://dlib.eastview.com/" TargetMode="External"/><Relationship Id="rId57" Type="http://schemas.openxmlformats.org/officeDocument/2006/relationships/hyperlink" Target="https://dlib.eastview.com/" TargetMode="External"/><Relationship Id="rId58" Type="http://schemas.openxmlformats.org/officeDocument/2006/relationships/hyperlink" Target="https://dlib.eastview.com/" TargetMode="External"/><Relationship Id="rId59" Type="http://schemas.openxmlformats.org/officeDocument/2006/relationships/hyperlink" Target="https://dlib.eastview.com/" TargetMode="External"/><Relationship Id="rId60" Type="http://schemas.openxmlformats.org/officeDocument/2006/relationships/hyperlink" Target="https://dlib.eastview.com/" TargetMode="External"/><Relationship Id="rId61" Type="http://schemas.openxmlformats.org/officeDocument/2006/relationships/hyperlink" Target="https://dlib.eastview.com/" TargetMode="External"/><Relationship Id="rId62" Type="http://schemas.openxmlformats.org/officeDocument/2006/relationships/hyperlink" Target="https://dlib.eastview.com/" TargetMode="External"/><Relationship Id="rId63" Type="http://schemas.openxmlformats.org/officeDocument/2006/relationships/hyperlink" Target="https://dlib.eastview.com/" TargetMode="External"/><Relationship Id="rId64" Type="http://schemas.openxmlformats.org/officeDocument/2006/relationships/hyperlink" Target="https://dlib.eastview.com/" TargetMode="External"/><Relationship Id="rId65" Type="http://schemas.openxmlformats.org/officeDocument/2006/relationships/hyperlink" Target="https://dlib.eastview.com/" TargetMode="External"/><Relationship Id="rId66" Type="http://schemas.openxmlformats.org/officeDocument/2006/relationships/hyperlink" Target="https://dlib.eastview.com/" TargetMode="External"/><Relationship Id="rId67" Type="http://schemas.openxmlformats.org/officeDocument/2006/relationships/hyperlink" Target="https://dlib.eastview.com/" TargetMode="External"/><Relationship Id="rId68" Type="http://schemas.openxmlformats.org/officeDocument/2006/relationships/hyperlink" Target="https://dlib.eastview.com/" TargetMode="External"/><Relationship Id="rId69" Type="http://schemas.openxmlformats.org/officeDocument/2006/relationships/hyperlink" Target="https://dlib.eastview.com/" TargetMode="External"/><Relationship Id="rId70" Type="http://schemas.openxmlformats.org/officeDocument/2006/relationships/hyperlink" Target="https://dlib.eastview.com/" TargetMode="External"/><Relationship Id="rId71" Type="http://schemas.openxmlformats.org/officeDocument/2006/relationships/hyperlink" Target="https://dlib.eastview.com/" TargetMode="External"/><Relationship Id="rId72" Type="http://schemas.openxmlformats.org/officeDocument/2006/relationships/hyperlink" Target="https://dlib.eastview.com/" TargetMode="External"/><Relationship Id="rId73" Type="http://schemas.openxmlformats.org/officeDocument/2006/relationships/hyperlink" Target="https://dlib.eastview.com/" TargetMode="External"/><Relationship Id="rId74" Type="http://schemas.openxmlformats.org/officeDocument/2006/relationships/hyperlink" Target="https://dlib.eastview.com/" TargetMode="External"/><Relationship Id="rId75" Type="http://schemas.openxmlformats.org/officeDocument/2006/relationships/hyperlink" Target="https://dlib.eastview.com/" TargetMode="External"/><Relationship Id="rId76" Type="http://schemas.openxmlformats.org/officeDocument/2006/relationships/hyperlink" Target="https://dlib.eastview.com/" TargetMode="External"/><Relationship Id="rId77" Type="http://schemas.openxmlformats.org/officeDocument/2006/relationships/hyperlink" Target="https://dlib.eastview.com/" TargetMode="External"/><Relationship Id="rId78" Type="http://schemas.openxmlformats.org/officeDocument/2006/relationships/hyperlink" Target="https://dlib.eastview.com/" TargetMode="External"/><Relationship Id="rId79" Type="http://schemas.openxmlformats.org/officeDocument/2006/relationships/hyperlink" Target="https://dlib.eastview.com/" TargetMode="External"/><Relationship Id="rId80" Type="http://schemas.openxmlformats.org/officeDocument/2006/relationships/hyperlink" Target="https://dlib.eastview.com/" TargetMode="External"/><Relationship Id="rId81" Type="http://schemas.openxmlformats.org/officeDocument/2006/relationships/hyperlink" Target="https://dlib.eastview.com/" TargetMode="External"/><Relationship Id="rId82" Type="http://schemas.openxmlformats.org/officeDocument/2006/relationships/hyperlink" Target="https://dlib.eastview.com/" TargetMode="External"/><Relationship Id="rId83" Type="http://schemas.openxmlformats.org/officeDocument/2006/relationships/hyperlink" Target="https://dlib.eastview.com/" TargetMode="External"/><Relationship Id="rId84" Type="http://schemas.openxmlformats.org/officeDocument/2006/relationships/hyperlink" Target="https://dlib.eastview.com/" TargetMode="External"/><Relationship Id="rId85" Type="http://schemas.openxmlformats.org/officeDocument/2006/relationships/hyperlink" Target="https://dlib.eastview.com/" TargetMode="External"/><Relationship Id="rId86" Type="http://schemas.openxmlformats.org/officeDocument/2006/relationships/hyperlink" Target="https://dlib.eastview.com/" TargetMode="External"/><Relationship Id="rId87" Type="http://schemas.openxmlformats.org/officeDocument/2006/relationships/hyperlink" Target="https://dlib.eastview.com/" TargetMode="External"/><Relationship Id="rId88" Type="http://schemas.openxmlformats.org/officeDocument/2006/relationships/hyperlink" Target="https://dlib.eastview.com/" TargetMode="External"/><Relationship Id="rId89" Type="http://schemas.openxmlformats.org/officeDocument/2006/relationships/hyperlink" Target="https://dlib.eastview.com/" TargetMode="External"/><Relationship Id="rId90" Type="http://schemas.openxmlformats.org/officeDocument/2006/relationships/hyperlink" Target="https://dlib.eastview.com/" TargetMode="External"/><Relationship Id="rId91" Type="http://schemas.openxmlformats.org/officeDocument/2006/relationships/hyperlink" Target="https://dlib.eastview.com/" TargetMode="External"/><Relationship Id="rId92" Type="http://schemas.openxmlformats.org/officeDocument/2006/relationships/hyperlink" Target="https://dlib.eastview.com/" TargetMode="External"/><Relationship Id="rId93" Type="http://schemas.openxmlformats.org/officeDocument/2006/relationships/hyperlink" Target="https://dlib.eastview.com/" TargetMode="External"/><Relationship Id="rId94" Type="http://schemas.openxmlformats.org/officeDocument/2006/relationships/hyperlink" Target="https://dlib.eastview.com/" TargetMode="External"/><Relationship Id="rId95" Type="http://schemas.openxmlformats.org/officeDocument/2006/relationships/hyperlink" Target="https://dlib.eastview.com/" TargetMode="External"/><Relationship Id="rId96" Type="http://schemas.openxmlformats.org/officeDocument/2006/relationships/hyperlink" Target="https://dlib.eastview.com/" TargetMode="External"/><Relationship Id="rId97" Type="http://schemas.openxmlformats.org/officeDocument/2006/relationships/hyperlink" Target="https://dlib.eastview.com/" TargetMode="External"/><Relationship Id="rId98" Type="http://schemas.openxmlformats.org/officeDocument/2006/relationships/hyperlink" Target="https://dlib.eastview.com/" TargetMode="External"/><Relationship Id="rId99" Type="http://schemas.openxmlformats.org/officeDocument/2006/relationships/hyperlink" Target="https://dlib.eastview.com/" TargetMode="External"/><Relationship Id="rId100" Type="http://schemas.openxmlformats.org/officeDocument/2006/relationships/hyperlink" Target="https://dlib.eastview.com/" TargetMode="External"/><Relationship Id="rId101" Type="http://schemas.openxmlformats.org/officeDocument/2006/relationships/hyperlink" Target="https://dlib.eastview.com/" TargetMode="External"/><Relationship Id="rId102" Type="http://schemas.openxmlformats.org/officeDocument/2006/relationships/hyperlink" Target="https://dlib.eastview.com/" TargetMode="External"/><Relationship Id="rId103" Type="http://schemas.openxmlformats.org/officeDocument/2006/relationships/hyperlink" Target="https://dlib.eastview.com/" TargetMode="External"/><Relationship Id="rId104" Type="http://schemas.openxmlformats.org/officeDocument/2006/relationships/hyperlink" Target="https://dlib.eastview.com/" TargetMode="External"/><Relationship Id="rId105" Type="http://schemas.openxmlformats.org/officeDocument/2006/relationships/hyperlink" Target="https://dlib.eastview.com/" TargetMode="External"/><Relationship Id="rId106" Type="http://schemas.openxmlformats.org/officeDocument/2006/relationships/hyperlink" Target="https://dlib.eastview.com/" TargetMode="External"/><Relationship Id="rId107" Type="http://schemas.openxmlformats.org/officeDocument/2006/relationships/hyperlink" Target="https://dlib.eastview.com/" TargetMode="External"/><Relationship Id="rId108" Type="http://schemas.openxmlformats.org/officeDocument/2006/relationships/hyperlink" Target="https://dlib.eastview.com/" TargetMode="External"/><Relationship Id="rId109" Type="http://schemas.openxmlformats.org/officeDocument/2006/relationships/hyperlink" Target="https://dlib.eastview.com/" TargetMode="External"/><Relationship Id="rId110" Type="http://schemas.openxmlformats.org/officeDocument/2006/relationships/hyperlink" Target="https://dlib.eastview.com/" TargetMode="External"/><Relationship Id="rId111" Type="http://schemas.openxmlformats.org/officeDocument/2006/relationships/hyperlink" Target="https://dlib.eastview.com/" TargetMode="External"/><Relationship Id="rId112" Type="http://schemas.openxmlformats.org/officeDocument/2006/relationships/hyperlink" Target="https://dlib.eastview.com/" TargetMode="External"/><Relationship Id="rId113" Type="http://schemas.openxmlformats.org/officeDocument/2006/relationships/hyperlink" Target="https://dlib.eastview.com/" TargetMode="External"/><Relationship Id="rId114" Type="http://schemas.openxmlformats.org/officeDocument/2006/relationships/hyperlink" Target="https://dlib.eastview.com/" TargetMode="External"/><Relationship Id="rId115" Type="http://schemas.openxmlformats.org/officeDocument/2006/relationships/hyperlink" Target="https://dlib.eastview.com/" TargetMode="External"/><Relationship Id="rId116" Type="http://schemas.openxmlformats.org/officeDocument/2006/relationships/hyperlink" Target="https://dlib.eastview.com/" TargetMode="External"/><Relationship Id="rId117" Type="http://schemas.openxmlformats.org/officeDocument/2006/relationships/hyperlink" Target="https://dlib.eastview.com/" TargetMode="External"/><Relationship Id="rId118" Type="http://schemas.openxmlformats.org/officeDocument/2006/relationships/hyperlink" Target="https://dlib.eastview.com/" TargetMode="External"/><Relationship Id="rId119" Type="http://schemas.openxmlformats.org/officeDocument/2006/relationships/hyperlink" Target="https://dlib.eastview.com/" TargetMode="External"/><Relationship Id="rId120" Type="http://schemas.openxmlformats.org/officeDocument/2006/relationships/hyperlink" Target="https://dlib.eastview.com/" TargetMode="External"/><Relationship Id="rId121" Type="http://schemas.openxmlformats.org/officeDocument/2006/relationships/hyperlink" Target="https://dlib.eastview.com/" TargetMode="External"/><Relationship Id="rId122" Type="http://schemas.openxmlformats.org/officeDocument/2006/relationships/hyperlink" Target="https://dlib.eastview.com/" TargetMode="External"/><Relationship Id="rId123" Type="http://schemas.openxmlformats.org/officeDocument/2006/relationships/hyperlink" Target="https://dlib.eastview.com/" TargetMode="External"/><Relationship Id="rId124" Type="http://schemas.openxmlformats.org/officeDocument/2006/relationships/hyperlink" Target="https://dlib.eastview.com/" TargetMode="External"/><Relationship Id="rId125" Type="http://schemas.openxmlformats.org/officeDocument/2006/relationships/hyperlink" Target="https://dlib.eastview.com/" TargetMode="External"/><Relationship Id="rId126" Type="http://schemas.openxmlformats.org/officeDocument/2006/relationships/hyperlink" Target="https://dlib.eastview.com/" TargetMode="External"/><Relationship Id="rId127" Type="http://schemas.openxmlformats.org/officeDocument/2006/relationships/hyperlink" Target="https://dlib.eastview.com/" TargetMode="External"/><Relationship Id="rId128" Type="http://schemas.openxmlformats.org/officeDocument/2006/relationships/hyperlink" Target="https://dlib.eastview.com/" TargetMode="External"/><Relationship Id="rId129" Type="http://schemas.openxmlformats.org/officeDocument/2006/relationships/hyperlink" Target="https://dlib.eastview.com/" TargetMode="External"/><Relationship Id="rId130" Type="http://schemas.openxmlformats.org/officeDocument/2006/relationships/hyperlink" Target="https://dlib.eastview.com/" TargetMode="External"/><Relationship Id="rId131" Type="http://schemas.openxmlformats.org/officeDocument/2006/relationships/hyperlink" Target="https://dlib.eastview.com/" TargetMode="External"/><Relationship Id="rId132" Type="http://schemas.openxmlformats.org/officeDocument/2006/relationships/hyperlink" Target="https://dlib.eastview.com/" TargetMode="External"/><Relationship Id="rId133" Type="http://schemas.openxmlformats.org/officeDocument/2006/relationships/hyperlink" Target="https://dlib.eastview.com/" TargetMode="External"/><Relationship Id="rId134" Type="http://schemas.openxmlformats.org/officeDocument/2006/relationships/hyperlink" Target="https://dlib.eastview.com/" TargetMode="External"/><Relationship Id="rId135" Type="http://schemas.openxmlformats.org/officeDocument/2006/relationships/hyperlink" Target="https://dlib.eastview.com/" TargetMode="External"/><Relationship Id="rId136" Type="http://schemas.openxmlformats.org/officeDocument/2006/relationships/hyperlink" Target="https://dlib.eastview.com/" TargetMode="External"/><Relationship Id="rId137" Type="http://schemas.openxmlformats.org/officeDocument/2006/relationships/hyperlink" Target="https://dlib.eastview.com/" TargetMode="External"/><Relationship Id="rId138" Type="http://schemas.openxmlformats.org/officeDocument/2006/relationships/hyperlink" Target="https://dlib.eastview.com/" TargetMode="External"/><Relationship Id="rId139" Type="http://schemas.openxmlformats.org/officeDocument/2006/relationships/hyperlink" Target="https://dlib.eastview.com/" TargetMode="External"/><Relationship Id="rId140" Type="http://schemas.openxmlformats.org/officeDocument/2006/relationships/hyperlink" Target="https://dlib.eastview.com/" TargetMode="External"/><Relationship Id="rId141" Type="http://schemas.openxmlformats.org/officeDocument/2006/relationships/hyperlink" Target="https://dlib.eastview.com/" TargetMode="External"/><Relationship Id="rId142" Type="http://schemas.openxmlformats.org/officeDocument/2006/relationships/hyperlink" Target="https://dlib.eastview.com/" TargetMode="External"/><Relationship Id="rId143" Type="http://schemas.openxmlformats.org/officeDocument/2006/relationships/hyperlink" Target="https://dlib.eastview.com/" TargetMode="External"/><Relationship Id="rId144" Type="http://schemas.openxmlformats.org/officeDocument/2006/relationships/hyperlink" Target="https://dlib.eastview.com/" TargetMode="External"/><Relationship Id="rId145" Type="http://schemas.openxmlformats.org/officeDocument/2006/relationships/hyperlink" Target="https://dlib.eastview.com/" TargetMode="External"/><Relationship Id="rId146" Type="http://schemas.openxmlformats.org/officeDocument/2006/relationships/hyperlink" Target="https://dlib.eastview.com/" TargetMode="External"/><Relationship Id="rId147" Type="http://schemas.openxmlformats.org/officeDocument/2006/relationships/hyperlink" Target="https://dlib.eastview.com/" TargetMode="External"/><Relationship Id="rId148" Type="http://schemas.openxmlformats.org/officeDocument/2006/relationships/hyperlink" Target="https://dlib.eastview.com/" TargetMode="External"/><Relationship Id="rId149" Type="http://schemas.openxmlformats.org/officeDocument/2006/relationships/hyperlink" Target="https://dlib.eastview.com/" TargetMode="External"/><Relationship Id="rId150" Type="http://schemas.openxmlformats.org/officeDocument/2006/relationships/hyperlink" Target="https://dlib.eastview.com/" TargetMode="External"/><Relationship Id="rId151" Type="http://schemas.openxmlformats.org/officeDocument/2006/relationships/hyperlink" Target="https://dlib.eastview.com/" TargetMode="External"/><Relationship Id="rId152" Type="http://schemas.openxmlformats.org/officeDocument/2006/relationships/hyperlink" Target="https://dlib.eastview.com/" TargetMode="External"/><Relationship Id="rId153" Type="http://schemas.openxmlformats.org/officeDocument/2006/relationships/hyperlink" Target="https://dlib.eastview.com/" TargetMode="External"/><Relationship Id="rId154" Type="http://schemas.openxmlformats.org/officeDocument/2006/relationships/hyperlink" Target="https://dlib.eastview.com/" TargetMode="External"/><Relationship Id="rId155" Type="http://schemas.openxmlformats.org/officeDocument/2006/relationships/hyperlink" Target="https://dlib.eastview.com/" TargetMode="External"/><Relationship Id="rId156" Type="http://schemas.openxmlformats.org/officeDocument/2006/relationships/hyperlink" Target="https://dlib.eastview.com/" TargetMode="External"/><Relationship Id="rId157" Type="http://schemas.openxmlformats.org/officeDocument/2006/relationships/hyperlink" Target="https://dlib.eastview.com/" TargetMode="External"/><Relationship Id="rId158" Type="http://schemas.openxmlformats.org/officeDocument/2006/relationships/hyperlink" Target="https://dlib.eastview.com/" TargetMode="External"/><Relationship Id="rId159" Type="http://schemas.openxmlformats.org/officeDocument/2006/relationships/hyperlink" Target="https://dlib.eastview.com/" TargetMode="External"/><Relationship Id="rId160" Type="http://schemas.openxmlformats.org/officeDocument/2006/relationships/hyperlink" Target="https://dlib.eastview.com/" TargetMode="External"/><Relationship Id="rId161" Type="http://schemas.openxmlformats.org/officeDocument/2006/relationships/hyperlink" Target="https://dlib.eastview.com/" TargetMode="External"/><Relationship Id="rId162" Type="http://schemas.openxmlformats.org/officeDocument/2006/relationships/hyperlink" Target="https://dlib.eastview.com/" TargetMode="External"/><Relationship Id="rId163" Type="http://schemas.openxmlformats.org/officeDocument/2006/relationships/hyperlink" Target="https://dlib.eastview.com/" TargetMode="External"/><Relationship Id="rId164" Type="http://schemas.openxmlformats.org/officeDocument/2006/relationships/hyperlink" Target="https://dlib.eastview.com/" TargetMode="External"/><Relationship Id="rId165" Type="http://schemas.openxmlformats.org/officeDocument/2006/relationships/hyperlink" Target="https://dlib.eastview.com/" TargetMode="External"/><Relationship Id="rId166" Type="http://schemas.openxmlformats.org/officeDocument/2006/relationships/hyperlink" Target="https://dlib.eastview.com/" TargetMode="External"/><Relationship Id="rId167" Type="http://schemas.openxmlformats.org/officeDocument/2006/relationships/hyperlink" Target="https://dlib.eastview.com/" TargetMode="External"/><Relationship Id="rId168" Type="http://schemas.openxmlformats.org/officeDocument/2006/relationships/hyperlink" Target="https://dlib.eastview.com/" TargetMode="External"/><Relationship Id="rId169" Type="http://schemas.openxmlformats.org/officeDocument/2006/relationships/hyperlink" Target="https://dlib.eastview.com/" TargetMode="External"/><Relationship Id="rId170" Type="http://schemas.openxmlformats.org/officeDocument/2006/relationships/hyperlink" Target="https://dlib.eastview.com/" TargetMode="External"/><Relationship Id="rId171" Type="http://schemas.openxmlformats.org/officeDocument/2006/relationships/hyperlink" Target="https://dlib.eastview.com/" TargetMode="External"/><Relationship Id="rId172" Type="http://schemas.openxmlformats.org/officeDocument/2006/relationships/hyperlink" Target="https://dlib.eastview.com/" TargetMode="External"/><Relationship Id="rId173" Type="http://schemas.openxmlformats.org/officeDocument/2006/relationships/hyperlink" Target="https://dlib.eastview.com/" TargetMode="External"/><Relationship Id="rId174" Type="http://schemas.openxmlformats.org/officeDocument/2006/relationships/hyperlink" Target="https://dlib.eastview.com/" TargetMode="External"/><Relationship Id="rId175" Type="http://schemas.openxmlformats.org/officeDocument/2006/relationships/hyperlink" Target="https://dlib.eastview.com/" TargetMode="External"/><Relationship Id="rId176" Type="http://schemas.openxmlformats.org/officeDocument/2006/relationships/hyperlink" Target="https://dlib.eastview.com/" TargetMode="External"/><Relationship Id="rId177" Type="http://schemas.openxmlformats.org/officeDocument/2006/relationships/hyperlink" Target="https://dlib.eastview.com/" TargetMode="External"/><Relationship Id="rId178" Type="http://schemas.openxmlformats.org/officeDocument/2006/relationships/hyperlink" Target="https://dlib.eastview.com/" TargetMode="External"/><Relationship Id="rId179" Type="http://schemas.openxmlformats.org/officeDocument/2006/relationships/hyperlink" Target="https://dlib.eastview.com/" TargetMode="External"/><Relationship Id="rId180" Type="http://schemas.openxmlformats.org/officeDocument/2006/relationships/hyperlink" Target="https://dlib.eastview.com/" TargetMode="External"/><Relationship Id="rId181" Type="http://schemas.openxmlformats.org/officeDocument/2006/relationships/hyperlink" Target="https://dlib.eastview.com/" TargetMode="External"/><Relationship Id="rId182" Type="http://schemas.openxmlformats.org/officeDocument/2006/relationships/hyperlink" Target="https://dlib.eastview.com/" TargetMode="External"/><Relationship Id="rId183" Type="http://schemas.openxmlformats.org/officeDocument/2006/relationships/hyperlink" Target="https://dlib.eastview.com/" TargetMode="External"/><Relationship Id="rId184" Type="http://schemas.openxmlformats.org/officeDocument/2006/relationships/hyperlink" Target="https://dlib.eastview.com/" TargetMode="External"/><Relationship Id="rId185" Type="http://schemas.openxmlformats.org/officeDocument/2006/relationships/hyperlink" Target="https://dlib.eastview.com/" TargetMode="External"/><Relationship Id="rId186" Type="http://schemas.openxmlformats.org/officeDocument/2006/relationships/hyperlink" Target="https://dlib.eastview.com/" TargetMode="External"/><Relationship Id="rId187" Type="http://schemas.openxmlformats.org/officeDocument/2006/relationships/hyperlink" Target="https://dlib.eastview.com/" TargetMode="External"/><Relationship Id="rId188" Type="http://schemas.openxmlformats.org/officeDocument/2006/relationships/hyperlink" Target="https://dlib.eastview.com/" TargetMode="External"/><Relationship Id="rId189" Type="http://schemas.openxmlformats.org/officeDocument/2006/relationships/hyperlink" Target="https://dlib.eastview.com/" TargetMode="External"/><Relationship Id="rId190" Type="http://schemas.openxmlformats.org/officeDocument/2006/relationships/hyperlink" Target="https://dlib.eastview.com/" TargetMode="External"/><Relationship Id="rId191" Type="http://schemas.openxmlformats.org/officeDocument/2006/relationships/hyperlink" Target="https://dlib.eastview.com/" TargetMode="External"/><Relationship Id="rId192" Type="http://schemas.openxmlformats.org/officeDocument/2006/relationships/hyperlink" Target="https://dlib.eastview.com/" TargetMode="External"/><Relationship Id="rId193" Type="http://schemas.openxmlformats.org/officeDocument/2006/relationships/hyperlink" Target="https://dlib.eastview.com/" TargetMode="External"/><Relationship Id="rId194" Type="http://schemas.openxmlformats.org/officeDocument/2006/relationships/hyperlink" Target="https://dlib.eastview.com/" TargetMode="External"/><Relationship Id="rId195" Type="http://schemas.openxmlformats.org/officeDocument/2006/relationships/hyperlink" Target="https://dlib.eastview.com/" TargetMode="External"/><Relationship Id="rId196" Type="http://schemas.openxmlformats.org/officeDocument/2006/relationships/hyperlink" Target="https://dlib.eastview.com/" TargetMode="External"/><Relationship Id="rId197" Type="http://schemas.openxmlformats.org/officeDocument/2006/relationships/hyperlink" Target="https://dlib.eastview.com/" TargetMode="External"/><Relationship Id="rId198" Type="http://schemas.openxmlformats.org/officeDocument/2006/relationships/hyperlink" Target="https://dlib.eastview.com/" TargetMode="External"/><Relationship Id="rId199" Type="http://schemas.openxmlformats.org/officeDocument/2006/relationships/hyperlink" Target="https://dlib.eastview.com/" TargetMode="External"/><Relationship Id="rId200" Type="http://schemas.openxmlformats.org/officeDocument/2006/relationships/hyperlink" Target="https://dlib.eastview.com/" TargetMode="External"/><Relationship Id="rId201" Type="http://schemas.openxmlformats.org/officeDocument/2006/relationships/hyperlink" Target="https://dlib.eastview.com/" TargetMode="External"/><Relationship Id="rId202" Type="http://schemas.openxmlformats.org/officeDocument/2006/relationships/hyperlink" Target="https://dlib.eastview.com/" TargetMode="External"/><Relationship Id="rId203" Type="http://schemas.openxmlformats.org/officeDocument/2006/relationships/hyperlink" Target="https://dlib.eastview.com/" TargetMode="External"/><Relationship Id="rId204" Type="http://schemas.openxmlformats.org/officeDocument/2006/relationships/hyperlink" Target="https://dlib.eastview.com/" TargetMode="External"/><Relationship Id="rId205" Type="http://schemas.openxmlformats.org/officeDocument/2006/relationships/hyperlink" Target="https://dlib.eastview.com/" TargetMode="External"/><Relationship Id="rId206" Type="http://schemas.openxmlformats.org/officeDocument/2006/relationships/hyperlink" Target="https://dlib.eastview.com/" TargetMode="External"/><Relationship Id="rId207" Type="http://schemas.openxmlformats.org/officeDocument/2006/relationships/hyperlink" Target="https://dlib.eastview.com/" TargetMode="External"/><Relationship Id="rId208" Type="http://schemas.openxmlformats.org/officeDocument/2006/relationships/hyperlink" Target="https://dlib.eastview.com/" TargetMode="External"/><Relationship Id="rId209" Type="http://schemas.openxmlformats.org/officeDocument/2006/relationships/hyperlink" Target="https://dlib.eastview.com/" TargetMode="External"/><Relationship Id="rId210" Type="http://schemas.openxmlformats.org/officeDocument/2006/relationships/hyperlink" Target="https://dlib.eastview.com/" TargetMode="External"/><Relationship Id="rId211" Type="http://schemas.openxmlformats.org/officeDocument/2006/relationships/hyperlink" Target="https://dlib.eastview.com/" TargetMode="External"/><Relationship Id="rId212" Type="http://schemas.openxmlformats.org/officeDocument/2006/relationships/hyperlink" Target="https://dlib.eastview.com/" TargetMode="External"/><Relationship Id="rId213" Type="http://schemas.openxmlformats.org/officeDocument/2006/relationships/hyperlink" Target="https://dlib.eastview.com/" TargetMode="External"/><Relationship Id="rId214" Type="http://schemas.openxmlformats.org/officeDocument/2006/relationships/hyperlink" Target="https://dlib.eastview.com/" TargetMode="External"/><Relationship Id="rId215" Type="http://schemas.openxmlformats.org/officeDocument/2006/relationships/hyperlink" Target="https://dlib.eastview.com/" TargetMode="External"/><Relationship Id="rId216" Type="http://schemas.openxmlformats.org/officeDocument/2006/relationships/hyperlink" Target="https://dlib.eastview.com/" TargetMode="External"/><Relationship Id="rId217" Type="http://schemas.openxmlformats.org/officeDocument/2006/relationships/hyperlink" Target="http://www.panor.ru/" TargetMode="External"/><Relationship Id="rId218" Type="http://schemas.openxmlformats.org/officeDocument/2006/relationships/hyperlink" Target="https://dlib.eastview.com/" TargetMode="External"/><Relationship Id="rId219" Type="http://schemas.openxmlformats.org/officeDocument/2006/relationships/hyperlink" Target="https://dlib.eastview.com/" TargetMode="External"/><Relationship Id="rId220" Type="http://schemas.openxmlformats.org/officeDocument/2006/relationships/hyperlink" Target="https://dlib.eastview.com/" TargetMode="External"/><Relationship Id="rId221" Type="http://schemas.openxmlformats.org/officeDocument/2006/relationships/hyperlink" Target="https://dlib.eastview.com/" TargetMode="External"/><Relationship Id="rId222" Type="http://schemas.openxmlformats.org/officeDocument/2006/relationships/hyperlink" Target="https://dlib.eastview.com/" TargetMode="External"/><Relationship Id="rId223" Type="http://schemas.openxmlformats.org/officeDocument/2006/relationships/hyperlink" Target="https://dlib.eastview.com/" TargetMode="External"/><Relationship Id="rId224" Type="http://schemas.openxmlformats.org/officeDocument/2006/relationships/hyperlink" Target="https://dlib.eastview.com/" TargetMode="External"/><Relationship Id="rId225" Type="http://schemas.openxmlformats.org/officeDocument/2006/relationships/hyperlink" Target="https://dlib.eastview.com/" TargetMode="External"/><Relationship Id="rId226" Type="http://schemas.openxmlformats.org/officeDocument/2006/relationships/hyperlink" Target="https://dlib.eastview.com/" TargetMode="External"/><Relationship Id="rId227" Type="http://schemas.openxmlformats.org/officeDocument/2006/relationships/hyperlink" Target="https://dlib.eastview.com/" TargetMode="External"/><Relationship Id="rId228" Type="http://schemas.openxmlformats.org/officeDocument/2006/relationships/hyperlink" Target="https://dlib.eastview.com/" TargetMode="External"/><Relationship Id="rId229" Type="http://schemas.openxmlformats.org/officeDocument/2006/relationships/hyperlink" Target="https://dlib.eastview.com/" TargetMode="External"/><Relationship Id="rId230" Type="http://schemas.openxmlformats.org/officeDocument/2006/relationships/hyperlink" Target="https://dlib.eastview.com/" TargetMode="External"/><Relationship Id="rId231" Type="http://schemas.openxmlformats.org/officeDocument/2006/relationships/hyperlink" Target="https://dlib.eastview.com/" TargetMode="External"/><Relationship Id="rId232" Type="http://schemas.openxmlformats.org/officeDocument/2006/relationships/hyperlink" Target="https://dlib.eastview.com/" TargetMode="External"/><Relationship Id="rId233" Type="http://schemas.openxmlformats.org/officeDocument/2006/relationships/hyperlink" Target="https://dlib.eastview.com/" TargetMode="External"/><Relationship Id="rId234" Type="http://schemas.openxmlformats.org/officeDocument/2006/relationships/hyperlink" Target="https://dlib.eastview.com/" TargetMode="External"/><Relationship Id="rId235" Type="http://schemas.openxmlformats.org/officeDocument/2006/relationships/hyperlink" Target="https://dlib.eastview.com/" TargetMode="External"/><Relationship Id="rId236" Type="http://schemas.openxmlformats.org/officeDocument/2006/relationships/hyperlink" Target="https://dlib.eastview.com/" TargetMode="External"/><Relationship Id="rId237" Type="http://schemas.openxmlformats.org/officeDocument/2006/relationships/hyperlink" Target="https://dlib.eastview.com/" TargetMode="External"/><Relationship Id="rId238" Type="http://schemas.openxmlformats.org/officeDocument/2006/relationships/hyperlink" Target="https://dlib.eastview.com/" TargetMode="External"/><Relationship Id="rId239" Type="http://schemas.openxmlformats.org/officeDocument/2006/relationships/hyperlink" Target="https://dlib.eastview.com/" TargetMode="External"/><Relationship Id="rId240" Type="http://schemas.openxmlformats.org/officeDocument/2006/relationships/hyperlink" Target="https://dlib.eastview.com/" TargetMode="External"/><Relationship Id="rId241" Type="http://schemas.openxmlformats.org/officeDocument/2006/relationships/hyperlink" Target="https://dlib.eastview.com/" TargetMode="External"/><Relationship Id="rId242" Type="http://schemas.openxmlformats.org/officeDocument/2006/relationships/hyperlink" Target="https://dlib.eastview.com/" TargetMode="External"/><Relationship Id="rId243" Type="http://schemas.openxmlformats.org/officeDocument/2006/relationships/hyperlink" Target="https://dlib.eastview.com/" TargetMode="External"/><Relationship Id="rId244" Type="http://schemas.openxmlformats.org/officeDocument/2006/relationships/hyperlink" Target="https://dlib.eastview.com/" TargetMode="External"/><Relationship Id="rId245" Type="http://schemas.openxmlformats.org/officeDocument/2006/relationships/hyperlink" Target="https://dlib.eastview.com/" TargetMode="External"/><Relationship Id="rId246" Type="http://schemas.openxmlformats.org/officeDocument/2006/relationships/hyperlink" Target="https://dlib.eastview.com/" TargetMode="External"/><Relationship Id="rId247" Type="http://schemas.openxmlformats.org/officeDocument/2006/relationships/hyperlink" Target="https://dlib.eastview.com/" TargetMode="External"/><Relationship Id="rId248" Type="http://schemas.openxmlformats.org/officeDocument/2006/relationships/hyperlink" Target="https://dlib.eastview.com/" TargetMode="External"/><Relationship Id="rId249" Type="http://schemas.openxmlformats.org/officeDocument/2006/relationships/hyperlink" Target="https://dlib.eastview.com/" TargetMode="External"/><Relationship Id="rId250" Type="http://schemas.openxmlformats.org/officeDocument/2006/relationships/hyperlink" Target="https://dlib.eastview.com/" TargetMode="External"/><Relationship Id="rId251" Type="http://schemas.openxmlformats.org/officeDocument/2006/relationships/hyperlink" Target="https://dlib.eastview.com/" TargetMode="External"/><Relationship Id="rId252" Type="http://schemas.openxmlformats.org/officeDocument/2006/relationships/hyperlink" Target="https://dlib.eastview.com/" TargetMode="External"/><Relationship Id="rId253" Type="http://schemas.openxmlformats.org/officeDocument/2006/relationships/hyperlink" Target="https://dlib.eastview.com/" TargetMode="External"/><Relationship Id="rId254" Type="http://schemas.openxmlformats.org/officeDocument/2006/relationships/hyperlink" Target="https://dlib.eastview.com/" TargetMode="External"/><Relationship Id="rId255" Type="http://schemas.openxmlformats.org/officeDocument/2006/relationships/hyperlink" Target="https://dlib.eastview.com/" TargetMode="External"/><Relationship Id="rId256" Type="http://schemas.openxmlformats.org/officeDocument/2006/relationships/hyperlink" Target="https://dlib.eastview.com/" TargetMode="External"/><Relationship Id="rId257" Type="http://schemas.openxmlformats.org/officeDocument/2006/relationships/hyperlink" Target="https://dlib.eastview.com/" TargetMode="External"/><Relationship Id="rId258" Type="http://schemas.openxmlformats.org/officeDocument/2006/relationships/hyperlink" Target="https://dlib.eastview.com/" TargetMode="External"/><Relationship Id="rId259" Type="http://schemas.openxmlformats.org/officeDocument/2006/relationships/hyperlink" Target="https://dlib.eastview.com/" TargetMode="External"/><Relationship Id="rId260" Type="http://schemas.openxmlformats.org/officeDocument/2006/relationships/hyperlink" Target="https://dlib.eastview.com/" TargetMode="External"/><Relationship Id="rId261" Type="http://schemas.openxmlformats.org/officeDocument/2006/relationships/hyperlink" Target="https://dlib.eastview.com/" TargetMode="External"/><Relationship Id="rId262" Type="http://schemas.openxmlformats.org/officeDocument/2006/relationships/hyperlink" Target="https://dlib.eastview.com/" TargetMode="External"/><Relationship Id="rId263" Type="http://schemas.openxmlformats.org/officeDocument/2006/relationships/hyperlink" Target="https://dlib.eastview.com/" TargetMode="External"/><Relationship Id="rId264" Type="http://schemas.openxmlformats.org/officeDocument/2006/relationships/hyperlink" Target="https://dlib.eastview.com/" TargetMode="External"/><Relationship Id="rId265" Type="http://schemas.openxmlformats.org/officeDocument/2006/relationships/hyperlink" Target="https://dlib.eastview.com/" TargetMode="External"/><Relationship Id="rId266" Type="http://schemas.openxmlformats.org/officeDocument/2006/relationships/hyperlink" Target="https://dlib.eastview.com/" TargetMode="External"/><Relationship Id="rId267" Type="http://schemas.openxmlformats.org/officeDocument/2006/relationships/hyperlink" Target="https://dlib.eastview.com/" TargetMode="External"/><Relationship Id="rId268" Type="http://schemas.openxmlformats.org/officeDocument/2006/relationships/hyperlink" Target="https://dlib.eastview.com/" TargetMode="External"/><Relationship Id="rId269" Type="http://schemas.openxmlformats.org/officeDocument/2006/relationships/hyperlink" Target="https://dlib.eastview.com/" TargetMode="External"/><Relationship Id="rId270" Type="http://schemas.openxmlformats.org/officeDocument/2006/relationships/hyperlink" Target="https://dlib.eastview.com/" TargetMode="External"/><Relationship Id="rId271" Type="http://schemas.openxmlformats.org/officeDocument/2006/relationships/hyperlink" Target="https://dlib.eastview.com/" TargetMode="External"/><Relationship Id="rId272" Type="http://schemas.openxmlformats.org/officeDocument/2006/relationships/hyperlink" Target="https://dlib.eastview.com/" TargetMode="External"/><Relationship Id="rId273" Type="http://schemas.openxmlformats.org/officeDocument/2006/relationships/hyperlink" Target="https://dlib.eastview.com/" TargetMode="External"/><Relationship Id="rId274" Type="http://schemas.openxmlformats.org/officeDocument/2006/relationships/hyperlink" Target="https://dlib.eastview.com/" TargetMode="External"/><Relationship Id="rId275" Type="http://schemas.openxmlformats.org/officeDocument/2006/relationships/hyperlink" Target="https://dlib.eastview.com/" TargetMode="External"/><Relationship Id="rId276" Type="http://schemas.openxmlformats.org/officeDocument/2006/relationships/hyperlink" Target="https://dlib.eastview.com/" TargetMode="External"/><Relationship Id="rId277" Type="http://schemas.openxmlformats.org/officeDocument/2006/relationships/hyperlink" Target="https://dlib.eastview.com/" TargetMode="External"/><Relationship Id="rId278" Type="http://schemas.openxmlformats.org/officeDocument/2006/relationships/hyperlink" Target="https://dlib.eastview.com/" TargetMode="External"/><Relationship Id="rId279" Type="http://schemas.openxmlformats.org/officeDocument/2006/relationships/hyperlink" Target="https://dlib.eastview.com/" TargetMode="External"/><Relationship Id="rId280" Type="http://schemas.openxmlformats.org/officeDocument/2006/relationships/hyperlink" Target="https://dlib.eastview.com/" TargetMode="External"/><Relationship Id="rId281" Type="http://schemas.openxmlformats.org/officeDocument/2006/relationships/hyperlink" Target="https://dlib.eastview.com/" TargetMode="External"/><Relationship Id="rId282" Type="http://schemas.openxmlformats.org/officeDocument/2006/relationships/hyperlink" Target="https://dlib.eastview.com/" TargetMode="External"/><Relationship Id="rId283" Type="http://schemas.openxmlformats.org/officeDocument/2006/relationships/hyperlink" Target="https://dlib.eastview.com/" TargetMode="External"/><Relationship Id="rId284" Type="http://schemas.openxmlformats.org/officeDocument/2006/relationships/hyperlink" Target="https://dlib.eastview.com/" TargetMode="External"/><Relationship Id="rId285" Type="http://schemas.openxmlformats.org/officeDocument/2006/relationships/hyperlink" Target="https://dlib.eastview.com/" TargetMode="External"/><Relationship Id="rId286" Type="http://schemas.openxmlformats.org/officeDocument/2006/relationships/hyperlink" Target="https://dlib.eastview.com/" TargetMode="External"/><Relationship Id="rId287" Type="http://schemas.openxmlformats.org/officeDocument/2006/relationships/hyperlink" Target="https://dlib.eastview.com/" TargetMode="External"/><Relationship Id="rId288" Type="http://schemas.openxmlformats.org/officeDocument/2006/relationships/hyperlink" Target="https://dlib.eastview.com/" TargetMode="External"/><Relationship Id="rId289" Type="http://schemas.openxmlformats.org/officeDocument/2006/relationships/hyperlink" Target="https://dlib.eastview.com/" TargetMode="External"/><Relationship Id="rId290" Type="http://schemas.openxmlformats.org/officeDocument/2006/relationships/hyperlink" Target="https://dlib.eastview.com/" TargetMode="External"/><Relationship Id="rId291" Type="http://schemas.openxmlformats.org/officeDocument/2006/relationships/hyperlink" Target="https://dlib.eastview.com/" TargetMode="External"/><Relationship Id="rId292" Type="http://schemas.openxmlformats.org/officeDocument/2006/relationships/hyperlink" Target="https://dlib.eastview.com/" TargetMode="External"/><Relationship Id="rId293" Type="http://schemas.openxmlformats.org/officeDocument/2006/relationships/hyperlink" Target="https://dlib.eastview.com/" TargetMode="External"/><Relationship Id="rId294" Type="http://schemas.openxmlformats.org/officeDocument/2006/relationships/hyperlink" Target="https://dlib.eastview.com/" TargetMode="External"/><Relationship Id="rId295" Type="http://schemas.openxmlformats.org/officeDocument/2006/relationships/hyperlink" Target="https://dlib.eastview.com/" TargetMode="External"/><Relationship Id="rId296" Type="http://schemas.openxmlformats.org/officeDocument/2006/relationships/hyperlink" Target="https://dlib.eastview.com/" TargetMode="External"/><Relationship Id="rId297" Type="http://schemas.openxmlformats.org/officeDocument/2006/relationships/hyperlink" Target="https://dlib.eastview.com/" TargetMode="External"/><Relationship Id="rId298" Type="http://schemas.openxmlformats.org/officeDocument/2006/relationships/hyperlink" Target="https://dlib.eastview.com/" TargetMode="External"/><Relationship Id="rId299" Type="http://schemas.openxmlformats.org/officeDocument/2006/relationships/hyperlink" Target="https://dlib.eastview.com/" TargetMode="External"/><Relationship Id="rId300" Type="http://schemas.openxmlformats.org/officeDocument/2006/relationships/hyperlink" Target="https://dlib.eastview.com/" TargetMode="External"/><Relationship Id="rId301" Type="http://schemas.openxmlformats.org/officeDocument/2006/relationships/hyperlink" Target="https://dlib.eastview.com/" TargetMode="External"/><Relationship Id="rId302" Type="http://schemas.openxmlformats.org/officeDocument/2006/relationships/hyperlink" Target="https://dlib.eastview.com/" TargetMode="External"/><Relationship Id="rId303" Type="http://schemas.openxmlformats.org/officeDocument/2006/relationships/hyperlink" Target="https://dlib.eastview.com/" TargetMode="External"/><Relationship Id="rId304" Type="http://schemas.openxmlformats.org/officeDocument/2006/relationships/hyperlink" Target="https://dlib.eastview.com/" TargetMode="External"/><Relationship Id="rId305" Type="http://schemas.openxmlformats.org/officeDocument/2006/relationships/hyperlink" Target="https://dlib.eastview.com/" TargetMode="External"/><Relationship Id="rId306" Type="http://schemas.openxmlformats.org/officeDocument/2006/relationships/hyperlink" Target="https://dlib.eastview.com/" TargetMode="External"/><Relationship Id="rId307" Type="http://schemas.openxmlformats.org/officeDocument/2006/relationships/hyperlink" Target="https://dlib.eastview.com/" TargetMode="External"/><Relationship Id="rId308" Type="http://schemas.openxmlformats.org/officeDocument/2006/relationships/hyperlink" Target="https://dlib.eastview.com/" TargetMode="External"/><Relationship Id="rId309" Type="http://schemas.openxmlformats.org/officeDocument/2006/relationships/hyperlink" Target="https://dlib.eastview.com/" TargetMode="External"/><Relationship Id="rId310" Type="http://schemas.openxmlformats.org/officeDocument/2006/relationships/hyperlink" Target="https://dlib.eastview.com/" TargetMode="External"/><Relationship Id="rId311" Type="http://schemas.openxmlformats.org/officeDocument/2006/relationships/hyperlink" Target="https://dlib.eastview.com/" TargetMode="External"/><Relationship Id="rId312" Type="http://schemas.openxmlformats.org/officeDocument/2006/relationships/hyperlink" Target="https://dlib.eastview.com/" TargetMode="External"/><Relationship Id="rId313" Type="http://schemas.openxmlformats.org/officeDocument/2006/relationships/hyperlink" Target="https://dlib.eastview.com/" TargetMode="External"/><Relationship Id="rId314" Type="http://schemas.openxmlformats.org/officeDocument/2006/relationships/hyperlink" Target="https://dlib.eastview.com/" TargetMode="External"/><Relationship Id="rId315" Type="http://schemas.openxmlformats.org/officeDocument/2006/relationships/hyperlink" Target="https://dlib.eastview.com/" TargetMode="External"/><Relationship Id="rId316" Type="http://schemas.openxmlformats.org/officeDocument/2006/relationships/hyperlink" Target="https://dlib.eastview.com/" TargetMode="External"/><Relationship Id="rId317" Type="http://schemas.openxmlformats.org/officeDocument/2006/relationships/hyperlink" Target="https://dlib.eastview.com/" TargetMode="External"/><Relationship Id="rId318" Type="http://schemas.openxmlformats.org/officeDocument/2006/relationships/hyperlink" Target="https://dlib.eastview.com/" TargetMode="External"/><Relationship Id="rId319" Type="http://schemas.openxmlformats.org/officeDocument/2006/relationships/hyperlink" Target="https://dlib.eastview.com/" TargetMode="External"/><Relationship Id="rId320" Type="http://schemas.openxmlformats.org/officeDocument/2006/relationships/hyperlink" Target="https://dlib.eastview.com/" TargetMode="External"/><Relationship Id="rId321" Type="http://schemas.openxmlformats.org/officeDocument/2006/relationships/hyperlink" Target="https://dlib.eastview.com/" TargetMode="External"/><Relationship Id="rId322" Type="http://schemas.openxmlformats.org/officeDocument/2006/relationships/hyperlink" Target="https://dlib.eastview.com/" TargetMode="External"/><Relationship Id="rId323" Type="http://schemas.openxmlformats.org/officeDocument/2006/relationships/hyperlink" Target="https://dlib.eastview.com/" TargetMode="External"/><Relationship Id="rId324" Type="http://schemas.openxmlformats.org/officeDocument/2006/relationships/hyperlink" Target="https://dlib.eastview.com/" TargetMode="External"/><Relationship Id="rId325" Type="http://schemas.openxmlformats.org/officeDocument/2006/relationships/hyperlink" Target="https://dlib.eastview.com/" TargetMode="External"/><Relationship Id="rId326" Type="http://schemas.openxmlformats.org/officeDocument/2006/relationships/hyperlink" Target="https://dlib.eastview.com/" TargetMode="External"/><Relationship Id="rId327" Type="http://schemas.openxmlformats.org/officeDocument/2006/relationships/hyperlink" Target="https://dlib.eastview.com/" TargetMode="External"/><Relationship Id="rId328" Type="http://schemas.openxmlformats.org/officeDocument/2006/relationships/hyperlink" Target="https://dlib.eastview.com/" TargetMode="External"/><Relationship Id="rId329" Type="http://schemas.openxmlformats.org/officeDocument/2006/relationships/hyperlink" Target="https://dlib.eastview.com/" TargetMode="External"/><Relationship Id="rId330" Type="http://schemas.openxmlformats.org/officeDocument/2006/relationships/hyperlink" Target="https://dlib.eastview.com/" TargetMode="External"/><Relationship Id="rId331" Type="http://schemas.openxmlformats.org/officeDocument/2006/relationships/hyperlink" Target="https://dlib.eastview.com/" TargetMode="External"/><Relationship Id="rId332" Type="http://schemas.openxmlformats.org/officeDocument/2006/relationships/hyperlink" Target="https://dlib.eastview.com/" TargetMode="External"/><Relationship Id="rId333" Type="http://schemas.openxmlformats.org/officeDocument/2006/relationships/hyperlink" Target="https://dlib.eastview.com/" TargetMode="External"/><Relationship Id="rId334" Type="http://schemas.openxmlformats.org/officeDocument/2006/relationships/hyperlink" Target="https://dlib.eastview.com/" TargetMode="External"/><Relationship Id="rId335" Type="http://schemas.openxmlformats.org/officeDocument/2006/relationships/hyperlink" Target="https://dlib.eastview.com/" TargetMode="External"/><Relationship Id="rId336" Type="http://schemas.openxmlformats.org/officeDocument/2006/relationships/hyperlink" Target="https://dlib.eastview.com/" TargetMode="External"/><Relationship Id="rId337" Type="http://schemas.openxmlformats.org/officeDocument/2006/relationships/hyperlink" Target="https://dlib.eastview.com/" TargetMode="External"/><Relationship Id="rId338" Type="http://schemas.openxmlformats.org/officeDocument/2006/relationships/hyperlink" Target="https://dlib.eastview.com/" TargetMode="External"/><Relationship Id="rId339" Type="http://schemas.openxmlformats.org/officeDocument/2006/relationships/hyperlink" Target="https://dlib.eastview.com/" TargetMode="External"/><Relationship Id="rId340" Type="http://schemas.openxmlformats.org/officeDocument/2006/relationships/hyperlink" Target="https://dlib.eastview.com/" TargetMode="External"/><Relationship Id="rId341" Type="http://schemas.openxmlformats.org/officeDocument/2006/relationships/hyperlink" Target="https://dlib.eastview.com/" TargetMode="External"/><Relationship Id="rId342" Type="http://schemas.openxmlformats.org/officeDocument/2006/relationships/hyperlink" Target="https://dlib.eastview.com/" TargetMode="External"/><Relationship Id="rId343" Type="http://schemas.openxmlformats.org/officeDocument/2006/relationships/hyperlink" Target="https://dlib.eastview.com/" TargetMode="External"/><Relationship Id="rId344" Type="http://schemas.openxmlformats.org/officeDocument/2006/relationships/hyperlink" Target="https://dlib.eastview.com/" TargetMode="External"/><Relationship Id="rId345" Type="http://schemas.openxmlformats.org/officeDocument/2006/relationships/hyperlink" Target="https://dlib.eastview.com/" TargetMode="External"/><Relationship Id="rId346" Type="http://schemas.openxmlformats.org/officeDocument/2006/relationships/hyperlink" Target="https://dlib.eastview.com/" TargetMode="External"/><Relationship Id="rId347" Type="http://schemas.openxmlformats.org/officeDocument/2006/relationships/hyperlink" Target="https://dlib.eastview.com/" TargetMode="External"/><Relationship Id="rId348" Type="http://schemas.openxmlformats.org/officeDocument/2006/relationships/hyperlink" Target="https://dlib.eastview.com/" TargetMode="External"/><Relationship Id="rId349" Type="http://schemas.openxmlformats.org/officeDocument/2006/relationships/hyperlink" Target="https://dlib.eastview.com/" TargetMode="External"/><Relationship Id="rId350" Type="http://schemas.openxmlformats.org/officeDocument/2006/relationships/hyperlink" Target="https://dlib.eastview.com/" TargetMode="External"/><Relationship Id="rId351" Type="http://schemas.openxmlformats.org/officeDocument/2006/relationships/hyperlink" Target="https://dlib.eastview.com/" TargetMode="External"/><Relationship Id="rId352" Type="http://schemas.openxmlformats.org/officeDocument/2006/relationships/hyperlink" Target="https://dlib.eastview.com/" TargetMode="External"/><Relationship Id="rId353" Type="http://schemas.openxmlformats.org/officeDocument/2006/relationships/hyperlink" Target="https://dlib.eastview.com/" TargetMode="External"/><Relationship Id="rId354" Type="http://schemas.openxmlformats.org/officeDocument/2006/relationships/hyperlink" Target="https://dlib.eastview.com/" TargetMode="External"/><Relationship Id="rId355" Type="http://schemas.openxmlformats.org/officeDocument/2006/relationships/hyperlink" Target="https://dlib.eastview.com/" TargetMode="External"/><Relationship Id="rId356" Type="http://schemas.openxmlformats.org/officeDocument/2006/relationships/hyperlink" Target="https://dlib.eastview.com/" TargetMode="External"/><Relationship Id="rId357" Type="http://schemas.openxmlformats.org/officeDocument/2006/relationships/hyperlink" Target="https://dlib.eastview.com/" TargetMode="External"/><Relationship Id="rId358" Type="http://schemas.openxmlformats.org/officeDocument/2006/relationships/hyperlink" Target="https://dlib.eastview.com/" TargetMode="External"/><Relationship Id="rId359" Type="http://schemas.openxmlformats.org/officeDocument/2006/relationships/hyperlink" Target="https://dlib.eastview.com/" TargetMode="External"/><Relationship Id="rId360" Type="http://schemas.openxmlformats.org/officeDocument/2006/relationships/hyperlink" Target="https://dlib.eastview.com/" TargetMode="External"/><Relationship Id="rId361" Type="http://schemas.openxmlformats.org/officeDocument/2006/relationships/hyperlink" Target="https://dlib.eastview.com/" TargetMode="External"/><Relationship Id="rId362" Type="http://schemas.openxmlformats.org/officeDocument/2006/relationships/hyperlink" Target="https://dlib.eastview.com/" TargetMode="External"/><Relationship Id="rId363" Type="http://schemas.openxmlformats.org/officeDocument/2006/relationships/hyperlink" Target="https://dlib.eastview.com/" TargetMode="External"/><Relationship Id="rId364" Type="http://schemas.openxmlformats.org/officeDocument/2006/relationships/hyperlink" Target="https://dlib.eastview.com/" TargetMode="External"/><Relationship Id="rId365" Type="http://schemas.openxmlformats.org/officeDocument/2006/relationships/hyperlink" Target="https://dlib.eastview.com/" TargetMode="External"/><Relationship Id="rId366" Type="http://schemas.openxmlformats.org/officeDocument/2006/relationships/hyperlink" Target="https://dlib.eastview.com/" TargetMode="External"/><Relationship Id="rId367" Type="http://schemas.openxmlformats.org/officeDocument/2006/relationships/hyperlink" Target="https://dlib.eastview.com/" TargetMode="External"/><Relationship Id="rId368" Type="http://schemas.openxmlformats.org/officeDocument/2006/relationships/hyperlink" Target="https://dlib.eastview.com/" TargetMode="External"/><Relationship Id="rId369" Type="http://schemas.openxmlformats.org/officeDocument/2006/relationships/hyperlink" Target="https://dlib.eastview.com/" TargetMode="External"/><Relationship Id="rId370" Type="http://schemas.openxmlformats.org/officeDocument/2006/relationships/hyperlink" Target="https://dlib.eastview.com/" TargetMode="External"/><Relationship Id="rId371" Type="http://schemas.openxmlformats.org/officeDocument/2006/relationships/hyperlink" Target="https://dlib.eastview.com/" TargetMode="External"/><Relationship Id="rId372" Type="http://schemas.openxmlformats.org/officeDocument/2006/relationships/hyperlink" Target="https://dlib.eastview.com/" TargetMode="External"/><Relationship Id="rId373" Type="http://schemas.openxmlformats.org/officeDocument/2006/relationships/hyperlink" Target="https://dlib.eastview.com/" TargetMode="External"/><Relationship Id="rId374" Type="http://schemas.openxmlformats.org/officeDocument/2006/relationships/hyperlink" Target="https://dlib.eastview.com/" TargetMode="External"/><Relationship Id="rId375" Type="http://schemas.openxmlformats.org/officeDocument/2006/relationships/hyperlink" Target="https://dlib.eastview.com/" TargetMode="External"/><Relationship Id="rId376" Type="http://schemas.openxmlformats.org/officeDocument/2006/relationships/hyperlink" Target="https://dlib.eastview.com/" TargetMode="External"/><Relationship Id="rId377" Type="http://schemas.openxmlformats.org/officeDocument/2006/relationships/hyperlink" Target="https://dlib.eastview.com/" TargetMode="External"/><Relationship Id="rId378" Type="http://schemas.openxmlformats.org/officeDocument/2006/relationships/hyperlink" Target="https://dlib.eastview.com/" TargetMode="External"/><Relationship Id="rId379" Type="http://schemas.openxmlformats.org/officeDocument/2006/relationships/hyperlink" Target="https://dlib.eastview.com/" TargetMode="External"/><Relationship Id="rId380" Type="http://schemas.openxmlformats.org/officeDocument/2006/relationships/hyperlink" Target="https://dlib.eastview.com/" TargetMode="External"/><Relationship Id="rId381" Type="http://schemas.openxmlformats.org/officeDocument/2006/relationships/hyperlink" Target="https://dlib.eastview.com/" TargetMode="External"/><Relationship Id="rId382" Type="http://schemas.openxmlformats.org/officeDocument/2006/relationships/hyperlink" Target="https://dlib.eastview.com/" TargetMode="External"/><Relationship Id="rId383" Type="http://schemas.openxmlformats.org/officeDocument/2006/relationships/hyperlink" Target="https://dlib.eastview.com/" TargetMode="External"/><Relationship Id="rId384" Type="http://schemas.openxmlformats.org/officeDocument/2006/relationships/hyperlink" Target="https://dlib.eastview.com/" TargetMode="External"/><Relationship Id="rId385" Type="http://schemas.openxmlformats.org/officeDocument/2006/relationships/hyperlink" Target="https://dlib.eastview.com/" TargetMode="External"/><Relationship Id="rId386" Type="http://schemas.openxmlformats.org/officeDocument/2006/relationships/hyperlink" Target="https://dlib.eastview.com/" TargetMode="External"/><Relationship Id="rId387" Type="http://schemas.openxmlformats.org/officeDocument/2006/relationships/hyperlink" Target="https://dlib.eastview.com/" TargetMode="External"/><Relationship Id="rId388" Type="http://schemas.openxmlformats.org/officeDocument/2006/relationships/hyperlink" Target="https://dlib.eastview.com/" TargetMode="External"/><Relationship Id="rId389" Type="http://schemas.openxmlformats.org/officeDocument/2006/relationships/hyperlink" Target="https://dlib.eastview.com/" TargetMode="External"/><Relationship Id="rId390" Type="http://schemas.openxmlformats.org/officeDocument/2006/relationships/hyperlink" Target="https://dlib.eastview.com/" TargetMode="External"/><Relationship Id="rId391" Type="http://schemas.openxmlformats.org/officeDocument/2006/relationships/hyperlink" Target="https://dlib.eastview.com/" TargetMode="External"/><Relationship Id="rId392" Type="http://schemas.openxmlformats.org/officeDocument/2006/relationships/hyperlink" Target="https://dlib.eastview.com/" TargetMode="External"/><Relationship Id="rId393" Type="http://schemas.openxmlformats.org/officeDocument/2006/relationships/hyperlink" Target="https://dlib.eastview.com/" TargetMode="External"/><Relationship Id="rId394" Type="http://schemas.openxmlformats.org/officeDocument/2006/relationships/hyperlink" Target="https://dlib.eastview.com/" TargetMode="External"/><Relationship Id="rId395" Type="http://schemas.openxmlformats.org/officeDocument/2006/relationships/hyperlink" Target="https://dlib.eastview.com/" TargetMode="External"/><Relationship Id="rId396" Type="http://schemas.openxmlformats.org/officeDocument/2006/relationships/hyperlink" Target="https://dlib.eastview.com/" TargetMode="External"/><Relationship Id="rId397" Type="http://schemas.openxmlformats.org/officeDocument/2006/relationships/hyperlink" Target="https://dlib.eastview.com/" TargetMode="External"/><Relationship Id="rId398" Type="http://schemas.openxmlformats.org/officeDocument/2006/relationships/hyperlink" Target="https://dlib.eastview.com/" TargetMode="External"/><Relationship Id="rId399" Type="http://schemas.openxmlformats.org/officeDocument/2006/relationships/hyperlink" Target="https://dlib.eastview.com/" TargetMode="External"/><Relationship Id="rId400" Type="http://schemas.openxmlformats.org/officeDocument/2006/relationships/hyperlink" Target="https://dlib.eastview.com/" TargetMode="External"/><Relationship Id="rId401" Type="http://schemas.openxmlformats.org/officeDocument/2006/relationships/hyperlink" Target="https://dlib.eastview.com/" TargetMode="External"/><Relationship Id="rId402" Type="http://schemas.openxmlformats.org/officeDocument/2006/relationships/hyperlink" Target="https://dlib.eastview.com/" TargetMode="External"/><Relationship Id="rId403" Type="http://schemas.openxmlformats.org/officeDocument/2006/relationships/hyperlink" Target="https://dlib.eastview.com/" TargetMode="External"/><Relationship Id="rId404" Type="http://schemas.openxmlformats.org/officeDocument/2006/relationships/hyperlink" Target="https://dlib.eastview.com/" TargetMode="External"/><Relationship Id="rId405" Type="http://schemas.openxmlformats.org/officeDocument/2006/relationships/hyperlink" Target="https://dlib.eastview.com/" TargetMode="External"/><Relationship Id="rId406" Type="http://schemas.openxmlformats.org/officeDocument/2006/relationships/hyperlink" Target="https://dlib.eastview.com/" TargetMode="External"/><Relationship Id="rId407" Type="http://schemas.openxmlformats.org/officeDocument/2006/relationships/hyperlink" Target="https://dlib.eastview.com/" TargetMode="External"/><Relationship Id="rId408" Type="http://schemas.openxmlformats.org/officeDocument/2006/relationships/hyperlink" Target="https://dlib.eastview.com/" TargetMode="External"/><Relationship Id="rId409" Type="http://schemas.openxmlformats.org/officeDocument/2006/relationships/hyperlink" Target="https://dlib.eastview.com/" TargetMode="External"/><Relationship Id="rId410" Type="http://schemas.openxmlformats.org/officeDocument/2006/relationships/hyperlink" Target="https://dlib.eastview.com/" TargetMode="External"/><Relationship Id="rId411" Type="http://schemas.openxmlformats.org/officeDocument/2006/relationships/hyperlink" Target="https://dlib.eastview.com/" TargetMode="External"/><Relationship Id="rId412" Type="http://schemas.openxmlformats.org/officeDocument/2006/relationships/hyperlink" Target="https://dlib.eastview.com/" TargetMode="External"/><Relationship Id="rId413" Type="http://schemas.openxmlformats.org/officeDocument/2006/relationships/hyperlink" Target="https://dlib.eastview.com/" TargetMode="External"/><Relationship Id="rId414" Type="http://schemas.openxmlformats.org/officeDocument/2006/relationships/hyperlink" Target="https://dlib.eastview.com/" TargetMode="External"/><Relationship Id="rId415" Type="http://schemas.openxmlformats.org/officeDocument/2006/relationships/hyperlink" Target="https://dlib.eastview.com/" TargetMode="External"/><Relationship Id="rId416" Type="http://schemas.openxmlformats.org/officeDocument/2006/relationships/hyperlink" Target="https://dlib.eastview.com/" TargetMode="External"/><Relationship Id="rId417" Type="http://schemas.openxmlformats.org/officeDocument/2006/relationships/hyperlink" Target="https://dlib.eastview.com/" TargetMode="External"/><Relationship Id="rId418" Type="http://schemas.openxmlformats.org/officeDocument/2006/relationships/hyperlink" Target="https://dlib.eastview.com/" TargetMode="External"/><Relationship Id="rId419" Type="http://schemas.openxmlformats.org/officeDocument/2006/relationships/hyperlink" Target="https://dlib.eastview.com/" TargetMode="External"/><Relationship Id="rId420" Type="http://schemas.openxmlformats.org/officeDocument/2006/relationships/hyperlink" Target="https://dlib.eastview.com/" TargetMode="External"/><Relationship Id="rId421" Type="http://schemas.openxmlformats.org/officeDocument/2006/relationships/hyperlink" Target="https://dlib.eastview.com/" TargetMode="External"/><Relationship Id="rId422" Type="http://schemas.openxmlformats.org/officeDocument/2006/relationships/hyperlink" Target="https://dlib.eastview.com/" TargetMode="External"/><Relationship Id="rId423" Type="http://schemas.openxmlformats.org/officeDocument/2006/relationships/hyperlink" Target="https://dlib.eastview.com/" TargetMode="External"/><Relationship Id="rId424" Type="http://schemas.openxmlformats.org/officeDocument/2006/relationships/hyperlink" Target="https://dlib.eastview.com/" TargetMode="External"/><Relationship Id="rId425" Type="http://schemas.openxmlformats.org/officeDocument/2006/relationships/hyperlink" Target="https://dlib.eastview.com/" TargetMode="External"/><Relationship Id="rId426" Type="http://schemas.openxmlformats.org/officeDocument/2006/relationships/hyperlink" Target="https://dlib.eastview.com/" TargetMode="External"/><Relationship Id="rId427" Type="http://schemas.openxmlformats.org/officeDocument/2006/relationships/hyperlink" Target="https://dlib.eastview.com/" TargetMode="External"/><Relationship Id="rId428" Type="http://schemas.openxmlformats.org/officeDocument/2006/relationships/hyperlink" Target="https://dlib.eastview.com/" TargetMode="External"/><Relationship Id="rId429" Type="http://schemas.openxmlformats.org/officeDocument/2006/relationships/hyperlink" Target="https://dlib.eastview.com/" TargetMode="External"/><Relationship Id="rId430" Type="http://schemas.openxmlformats.org/officeDocument/2006/relationships/hyperlink" Target="https://dlib.eastview.com/" TargetMode="External"/><Relationship Id="rId431" Type="http://schemas.openxmlformats.org/officeDocument/2006/relationships/hyperlink" Target="https://dlib.eastview.com/" TargetMode="External"/><Relationship Id="rId432" Type="http://schemas.openxmlformats.org/officeDocument/2006/relationships/hyperlink" Target="https://dlib.eastview.com/" TargetMode="External"/><Relationship Id="rId433" Type="http://schemas.openxmlformats.org/officeDocument/2006/relationships/hyperlink" Target="https://dlib.eastview.com/" TargetMode="External"/><Relationship Id="rId434" Type="http://schemas.openxmlformats.org/officeDocument/2006/relationships/hyperlink" Target="https://dlib.eastview.com/" TargetMode="External"/><Relationship Id="rId435" Type="http://schemas.openxmlformats.org/officeDocument/2006/relationships/hyperlink" Target="https://dlib.eastview.com/" TargetMode="External"/><Relationship Id="rId436" Type="http://schemas.openxmlformats.org/officeDocument/2006/relationships/hyperlink" Target="https://dlib.eastview.com/" TargetMode="External"/><Relationship Id="rId437" Type="http://schemas.openxmlformats.org/officeDocument/2006/relationships/hyperlink" Target="https://dlib.eastview.com/" TargetMode="External"/><Relationship Id="rId438" Type="http://schemas.openxmlformats.org/officeDocument/2006/relationships/hyperlink" Target="https://dlib.eastview.com/" TargetMode="External"/><Relationship Id="rId439" Type="http://schemas.openxmlformats.org/officeDocument/2006/relationships/hyperlink" Target="https://dlib.eastview.com/" TargetMode="External"/><Relationship Id="rId440" Type="http://schemas.openxmlformats.org/officeDocument/2006/relationships/hyperlink" Target="https://dlib.eastview.com/" TargetMode="External"/><Relationship Id="rId441" Type="http://schemas.openxmlformats.org/officeDocument/2006/relationships/hyperlink" Target="https://dlib.eastview.com/" TargetMode="External"/><Relationship Id="rId442" Type="http://schemas.openxmlformats.org/officeDocument/2006/relationships/hyperlink" Target="https://dlib.eastview.com/" TargetMode="External"/><Relationship Id="rId443" Type="http://schemas.openxmlformats.org/officeDocument/2006/relationships/hyperlink" Target="https://dlib.eastview.com/" TargetMode="External"/><Relationship Id="rId444" Type="http://schemas.openxmlformats.org/officeDocument/2006/relationships/hyperlink" Target="https://dlib.eastview.com/" TargetMode="External"/><Relationship Id="rId445" Type="http://schemas.openxmlformats.org/officeDocument/2006/relationships/hyperlink" Target="https://dlib.eastview.com/" TargetMode="External"/><Relationship Id="rId446" Type="http://schemas.openxmlformats.org/officeDocument/2006/relationships/hyperlink" Target="https://dlib.eastview.com/" TargetMode="External"/><Relationship Id="rId447" Type="http://schemas.openxmlformats.org/officeDocument/2006/relationships/hyperlink" Target="https://dlib.eastview.com/" TargetMode="External"/><Relationship Id="rId448" Type="http://schemas.openxmlformats.org/officeDocument/2006/relationships/hyperlink" Target="https://dlib.eastview.com/" TargetMode="External"/><Relationship Id="rId449" Type="http://schemas.openxmlformats.org/officeDocument/2006/relationships/hyperlink" Target="https://dlib.eastview.com/" TargetMode="External"/><Relationship Id="rId450" Type="http://schemas.openxmlformats.org/officeDocument/2006/relationships/hyperlink" Target="https://dlib.eastview.com/" TargetMode="External"/><Relationship Id="rId451" Type="http://schemas.openxmlformats.org/officeDocument/2006/relationships/hyperlink" Target="https://dlib.eastview.com/" TargetMode="External"/><Relationship Id="rId452" Type="http://schemas.openxmlformats.org/officeDocument/2006/relationships/hyperlink" Target="https://dlib.eastview.com/" TargetMode="External"/><Relationship Id="rId453" Type="http://schemas.openxmlformats.org/officeDocument/2006/relationships/hyperlink" Target="https://dlib.eastview.com/" TargetMode="External"/><Relationship Id="rId454" Type="http://schemas.openxmlformats.org/officeDocument/2006/relationships/hyperlink" Target="https://dlib.eastview.com/" TargetMode="External"/><Relationship Id="rId455" Type="http://schemas.openxmlformats.org/officeDocument/2006/relationships/hyperlink" Target="https://dlib.eastview.com/" TargetMode="External"/><Relationship Id="rId456" Type="http://schemas.openxmlformats.org/officeDocument/2006/relationships/hyperlink" Target="https://dlib.eastview.com/" TargetMode="External"/><Relationship Id="rId457" Type="http://schemas.openxmlformats.org/officeDocument/2006/relationships/hyperlink" Target="https://dlib.eastview.com/" TargetMode="External"/><Relationship Id="rId458" Type="http://schemas.openxmlformats.org/officeDocument/2006/relationships/hyperlink" Target="https://dlib.eastview.com/" TargetMode="External"/><Relationship Id="rId459" Type="http://schemas.openxmlformats.org/officeDocument/2006/relationships/hyperlink" Target="https://dlib.eastview.com/" TargetMode="External"/><Relationship Id="rId460" Type="http://schemas.openxmlformats.org/officeDocument/2006/relationships/hyperlink" Target="https://dlib.eastview.com/" TargetMode="External"/><Relationship Id="rId461" Type="http://schemas.openxmlformats.org/officeDocument/2006/relationships/hyperlink" Target="https://dlib.eastview.com/" TargetMode="External"/><Relationship Id="rId462" Type="http://schemas.openxmlformats.org/officeDocument/2006/relationships/hyperlink" Target="https://dlib.eastview.com/" TargetMode="External"/><Relationship Id="rId463" Type="http://schemas.openxmlformats.org/officeDocument/2006/relationships/hyperlink" Target="https://dlib.eastview.com/" TargetMode="External"/><Relationship Id="rId464" Type="http://schemas.openxmlformats.org/officeDocument/2006/relationships/hyperlink" Target="https://dlib.eastview.com/" TargetMode="External"/><Relationship Id="rId465" Type="http://schemas.openxmlformats.org/officeDocument/2006/relationships/hyperlink" Target="https://dlib.eastview.com/" TargetMode="External"/><Relationship Id="rId466" Type="http://schemas.openxmlformats.org/officeDocument/2006/relationships/hyperlink" Target="https://dlib.eastview.com/" TargetMode="External"/><Relationship Id="rId467" Type="http://schemas.openxmlformats.org/officeDocument/2006/relationships/hyperlink" Target="https://dlib.eastview.com/" TargetMode="External"/><Relationship Id="rId468" Type="http://schemas.openxmlformats.org/officeDocument/2006/relationships/hyperlink" Target="https://dlib.eastview.com/" TargetMode="External"/><Relationship Id="rId469" Type="http://schemas.openxmlformats.org/officeDocument/2006/relationships/hyperlink" Target="https://dlib.eastview.com/" TargetMode="External"/><Relationship Id="rId470" Type="http://schemas.openxmlformats.org/officeDocument/2006/relationships/hyperlink" Target="https://dlib.eastview.com/" TargetMode="External"/><Relationship Id="rId471" Type="http://schemas.openxmlformats.org/officeDocument/2006/relationships/hyperlink" Target="https://dlib.eastview.com/" TargetMode="External"/><Relationship Id="rId472" Type="http://schemas.openxmlformats.org/officeDocument/2006/relationships/hyperlink" Target="https://dlib.eastview.com/" TargetMode="External"/><Relationship Id="rId473" Type="http://schemas.openxmlformats.org/officeDocument/2006/relationships/hyperlink" Target="https://dlib.eastview.com/" TargetMode="External"/><Relationship Id="rId474" Type="http://schemas.openxmlformats.org/officeDocument/2006/relationships/hyperlink" Target="https://dlib.eastview.com/" TargetMode="External"/><Relationship Id="rId475" Type="http://schemas.openxmlformats.org/officeDocument/2006/relationships/hyperlink" Target="https://dlib.eastview.com/" TargetMode="External"/><Relationship Id="rId476" Type="http://schemas.openxmlformats.org/officeDocument/2006/relationships/hyperlink" Target="https://dlib.eastview.com/" TargetMode="External"/><Relationship Id="rId477" Type="http://schemas.openxmlformats.org/officeDocument/2006/relationships/hyperlink" Target="https://dlib.eastview.com/" TargetMode="External"/><Relationship Id="rId478" Type="http://schemas.openxmlformats.org/officeDocument/2006/relationships/hyperlink" Target="https://dlib.eastview.com/" TargetMode="External"/><Relationship Id="rId479" Type="http://schemas.openxmlformats.org/officeDocument/2006/relationships/hyperlink" Target="https://dlib.eastview.com/" TargetMode="External"/><Relationship Id="rId480" Type="http://schemas.openxmlformats.org/officeDocument/2006/relationships/hyperlink" Target="https://dlib.eastview.com/" TargetMode="External"/><Relationship Id="rId481" Type="http://schemas.openxmlformats.org/officeDocument/2006/relationships/hyperlink" Target="https://dlib.eastview.com/" TargetMode="External"/><Relationship Id="rId482" Type="http://schemas.openxmlformats.org/officeDocument/2006/relationships/hyperlink" Target="https://dlib.eastview.com/" TargetMode="External"/><Relationship Id="rId483" Type="http://schemas.openxmlformats.org/officeDocument/2006/relationships/hyperlink" Target="https://dlib.eastview.com/" TargetMode="External"/><Relationship Id="rId484" Type="http://schemas.openxmlformats.org/officeDocument/2006/relationships/hyperlink" Target="https://dlib.eastview.com/" TargetMode="External"/><Relationship Id="rId485" Type="http://schemas.openxmlformats.org/officeDocument/2006/relationships/hyperlink" Target="https://dlib.eastview.com/" TargetMode="External"/><Relationship Id="rId486" Type="http://schemas.openxmlformats.org/officeDocument/2006/relationships/hyperlink" Target="https://dlib.eastview.com/" TargetMode="External"/><Relationship Id="rId487" Type="http://schemas.openxmlformats.org/officeDocument/2006/relationships/hyperlink" Target="https://dlib.eastview.com/" TargetMode="External"/><Relationship Id="rId488" Type="http://schemas.openxmlformats.org/officeDocument/2006/relationships/hyperlink" Target="https://dlib.eastview.com/" TargetMode="External"/><Relationship Id="rId489" Type="http://schemas.openxmlformats.org/officeDocument/2006/relationships/hyperlink" Target="https://dlib.eastview.com/" TargetMode="External"/><Relationship Id="rId490" Type="http://schemas.openxmlformats.org/officeDocument/2006/relationships/hyperlink" Target="https://dlib.eastview.com/" TargetMode="External"/><Relationship Id="rId491" Type="http://schemas.openxmlformats.org/officeDocument/2006/relationships/hyperlink" Target="http://www.panor.ru/" TargetMode="External"/><Relationship Id="rId492" Type="http://schemas.openxmlformats.org/officeDocument/2006/relationships/hyperlink" Target="https://dlib.eastview.com/" TargetMode="External"/><Relationship Id="rId493" Type="http://schemas.openxmlformats.org/officeDocument/2006/relationships/hyperlink" Target="https://dlib.eastview.com/" TargetMode="External"/><Relationship Id="rId494" Type="http://schemas.openxmlformats.org/officeDocument/2006/relationships/hyperlink" Target="https://dlib.eastview.com/" TargetMode="External"/><Relationship Id="rId495" Type="http://schemas.openxmlformats.org/officeDocument/2006/relationships/hyperlink" Target="https://dlib.eastview.com/" TargetMode="External"/><Relationship Id="rId496" Type="http://schemas.openxmlformats.org/officeDocument/2006/relationships/hyperlink" Target="https://dlib.eastview.com/" TargetMode="External"/><Relationship Id="rId497" Type="http://schemas.openxmlformats.org/officeDocument/2006/relationships/hyperlink" Target="https://dlib.eastview.com/" TargetMode="External"/><Relationship Id="rId498" Type="http://schemas.openxmlformats.org/officeDocument/2006/relationships/hyperlink" Target="https://dlib.eastview.com/" TargetMode="External"/><Relationship Id="rId499" Type="http://schemas.openxmlformats.org/officeDocument/2006/relationships/hyperlink" Target="https://dlib.eastview.com/" TargetMode="External"/><Relationship Id="rId500" Type="http://schemas.openxmlformats.org/officeDocument/2006/relationships/hyperlink" Target="https://dlib.eastview.com/" TargetMode="External"/><Relationship Id="rId501" Type="http://schemas.openxmlformats.org/officeDocument/2006/relationships/hyperlink" Target="https://dlib.eastview.com/" TargetMode="External"/><Relationship Id="rId502" Type="http://schemas.openxmlformats.org/officeDocument/2006/relationships/hyperlink" Target="https://dlib.eastview.com/" TargetMode="External"/><Relationship Id="rId503" Type="http://schemas.openxmlformats.org/officeDocument/2006/relationships/hyperlink" Target="https://dlib.eastview.com/" TargetMode="External"/><Relationship Id="rId504" Type="http://schemas.openxmlformats.org/officeDocument/2006/relationships/hyperlink" Target="https://dlib.eastview.com/" TargetMode="External"/><Relationship Id="rId505" Type="http://schemas.openxmlformats.org/officeDocument/2006/relationships/hyperlink" Target="https://dlib.eastview.com/" TargetMode="External"/><Relationship Id="rId506" Type="http://schemas.openxmlformats.org/officeDocument/2006/relationships/hyperlink" Target="https://dlib.eastview.com/" TargetMode="External"/><Relationship Id="rId507" Type="http://schemas.openxmlformats.org/officeDocument/2006/relationships/hyperlink" Target="https://dlib.eastview.com/" TargetMode="External"/><Relationship Id="rId508" Type="http://schemas.openxmlformats.org/officeDocument/2006/relationships/hyperlink" Target="https://dlib.eastview.com/" TargetMode="External"/><Relationship Id="rId509" Type="http://schemas.openxmlformats.org/officeDocument/2006/relationships/hyperlink" Target="https://dlib.eastview.com/" TargetMode="External"/><Relationship Id="rId510" Type="http://schemas.openxmlformats.org/officeDocument/2006/relationships/hyperlink" Target="https://dlib.eastview.com/" TargetMode="External"/><Relationship Id="rId511" Type="http://schemas.openxmlformats.org/officeDocument/2006/relationships/hyperlink" Target="https://dlib.eastview.com/" TargetMode="External"/><Relationship Id="rId512" Type="http://schemas.openxmlformats.org/officeDocument/2006/relationships/hyperlink" Target="https://dlib.eastview.com/" TargetMode="External"/><Relationship Id="rId513" Type="http://schemas.openxmlformats.org/officeDocument/2006/relationships/hyperlink" Target="https://dlib.eastview.com/" TargetMode="External"/><Relationship Id="rId514" Type="http://schemas.openxmlformats.org/officeDocument/2006/relationships/hyperlink" Target="https://dlib.eastview.com/" TargetMode="External"/><Relationship Id="rId515" Type="http://schemas.openxmlformats.org/officeDocument/2006/relationships/hyperlink" Target="https://dlib.eastview.com/" TargetMode="External"/><Relationship Id="rId516" Type="http://schemas.openxmlformats.org/officeDocument/2006/relationships/hyperlink" Target="https://dlib.eastview.com/" TargetMode="External"/><Relationship Id="rId517" Type="http://schemas.openxmlformats.org/officeDocument/2006/relationships/hyperlink" Target="https://dlib.eastview.com/" TargetMode="External"/><Relationship Id="rId518" Type="http://schemas.openxmlformats.org/officeDocument/2006/relationships/hyperlink" Target="https://dlib.eastview.com/" TargetMode="External"/><Relationship Id="rId519" Type="http://schemas.openxmlformats.org/officeDocument/2006/relationships/hyperlink" Target="https://dlib.eastview.com/" TargetMode="External"/><Relationship Id="rId520" Type="http://schemas.openxmlformats.org/officeDocument/2006/relationships/hyperlink" Target="https://dlib.eastview.com/" TargetMode="External"/><Relationship Id="rId521" Type="http://schemas.openxmlformats.org/officeDocument/2006/relationships/hyperlink" Target="https://dlib.eastview.com/" TargetMode="External"/><Relationship Id="rId522" Type="http://schemas.openxmlformats.org/officeDocument/2006/relationships/hyperlink" Target="https://dlib.eastview.com/" TargetMode="External"/><Relationship Id="rId523" Type="http://schemas.openxmlformats.org/officeDocument/2006/relationships/hyperlink" Target="https://dlib.eastview.com/" TargetMode="External"/><Relationship Id="rId524" Type="http://schemas.openxmlformats.org/officeDocument/2006/relationships/hyperlink" Target="https://dlib.eastview.com/" TargetMode="External"/><Relationship Id="rId525" Type="http://schemas.openxmlformats.org/officeDocument/2006/relationships/hyperlink" Target="https://dlib.eastview.com/" TargetMode="External"/><Relationship Id="rId526" Type="http://schemas.openxmlformats.org/officeDocument/2006/relationships/hyperlink" Target="https://dlib.eastview.com/" TargetMode="External"/><Relationship Id="rId527" Type="http://schemas.openxmlformats.org/officeDocument/2006/relationships/hyperlink" Target="https://dlib.eastview.com/" TargetMode="External"/><Relationship Id="rId528" Type="http://schemas.openxmlformats.org/officeDocument/2006/relationships/hyperlink" Target="https://dlib.eastview.com/" TargetMode="External"/><Relationship Id="rId529" Type="http://schemas.openxmlformats.org/officeDocument/2006/relationships/hyperlink" Target="https://dlib.eastview.com/" TargetMode="External"/><Relationship Id="rId530" Type="http://schemas.openxmlformats.org/officeDocument/2006/relationships/hyperlink" Target="https://dlib.eastview.com/" TargetMode="External"/><Relationship Id="rId531" Type="http://schemas.openxmlformats.org/officeDocument/2006/relationships/hyperlink" Target="https://dlib.eastview.com/" TargetMode="External"/><Relationship Id="rId532" Type="http://schemas.openxmlformats.org/officeDocument/2006/relationships/hyperlink" Target="https://dlib.eastview.com/" TargetMode="External"/><Relationship Id="rId533" Type="http://schemas.openxmlformats.org/officeDocument/2006/relationships/hyperlink" Target="https://dlib.eastview.com/" TargetMode="External"/><Relationship Id="rId534" Type="http://schemas.openxmlformats.org/officeDocument/2006/relationships/hyperlink" Target="https://dlib.eastview.com/" TargetMode="External"/><Relationship Id="rId535" Type="http://schemas.openxmlformats.org/officeDocument/2006/relationships/hyperlink" Target="https://dlib.eastview.com/" TargetMode="External"/><Relationship Id="rId536" Type="http://schemas.openxmlformats.org/officeDocument/2006/relationships/hyperlink" Target="https://dlib.eastview.com/" TargetMode="External"/><Relationship Id="rId537" Type="http://schemas.openxmlformats.org/officeDocument/2006/relationships/hyperlink" Target="https://dlib.eastview.com/" TargetMode="External"/><Relationship Id="rId538" Type="http://schemas.openxmlformats.org/officeDocument/2006/relationships/hyperlink" Target="https://dlib.eastview.com/" TargetMode="External"/><Relationship Id="rId539" Type="http://schemas.openxmlformats.org/officeDocument/2006/relationships/hyperlink" Target="https://dlib.eastview.com/" TargetMode="External"/><Relationship Id="rId540" Type="http://schemas.openxmlformats.org/officeDocument/2006/relationships/hyperlink" Target="https://dlib.eastview.com/" TargetMode="External"/><Relationship Id="rId541" Type="http://schemas.openxmlformats.org/officeDocument/2006/relationships/hyperlink" Target="https://dlib.eastview.com/" TargetMode="External"/><Relationship Id="rId542" Type="http://schemas.openxmlformats.org/officeDocument/2006/relationships/hyperlink" Target="https://dlib.eastview.com/" TargetMode="External"/><Relationship Id="rId543" Type="http://schemas.openxmlformats.org/officeDocument/2006/relationships/hyperlink" Target="https://dlib.eastview.com/" TargetMode="External"/><Relationship Id="rId544" Type="http://schemas.openxmlformats.org/officeDocument/2006/relationships/hyperlink" Target="https://dlib.eastview.com/" TargetMode="External"/><Relationship Id="rId545" Type="http://schemas.openxmlformats.org/officeDocument/2006/relationships/hyperlink" Target="https://dlib.eastview.com/" TargetMode="External"/><Relationship Id="rId546" Type="http://schemas.openxmlformats.org/officeDocument/2006/relationships/hyperlink" Target="https://dlib.eastview.com/" TargetMode="External"/><Relationship Id="rId547" Type="http://schemas.openxmlformats.org/officeDocument/2006/relationships/hyperlink" Target="https://dlib.eastview.com/" TargetMode="External"/><Relationship Id="rId548" Type="http://schemas.openxmlformats.org/officeDocument/2006/relationships/hyperlink" Target="https://dlib.eastview.com/" TargetMode="External"/><Relationship Id="rId549" Type="http://schemas.openxmlformats.org/officeDocument/2006/relationships/hyperlink" Target="https://dlib.eastview.com/" TargetMode="External"/><Relationship Id="rId550" Type="http://schemas.openxmlformats.org/officeDocument/2006/relationships/hyperlink" Target="https://dlib.eastview.com/" TargetMode="External"/><Relationship Id="rId551" Type="http://schemas.openxmlformats.org/officeDocument/2006/relationships/hyperlink" Target="https://dlib.eastview.com/" TargetMode="External"/><Relationship Id="rId552" Type="http://schemas.openxmlformats.org/officeDocument/2006/relationships/hyperlink" Target="https://dlib.eastview.com/" TargetMode="External"/><Relationship Id="rId553" Type="http://schemas.openxmlformats.org/officeDocument/2006/relationships/hyperlink" Target="https://dlib.eastview.com/" TargetMode="External"/><Relationship Id="rId554" Type="http://schemas.openxmlformats.org/officeDocument/2006/relationships/hyperlink" Target="https://dlib.eastview.com/" TargetMode="External"/><Relationship Id="rId555" Type="http://schemas.openxmlformats.org/officeDocument/2006/relationships/hyperlink" Target="https://dlib.eastview.com/" TargetMode="External"/><Relationship Id="rId556" Type="http://schemas.openxmlformats.org/officeDocument/2006/relationships/hyperlink" Target="https://dlib.eastview.com/" TargetMode="External"/><Relationship Id="rId557" Type="http://schemas.openxmlformats.org/officeDocument/2006/relationships/hyperlink" Target="https://dlib.eastview.com/" TargetMode="External"/><Relationship Id="rId558" Type="http://schemas.openxmlformats.org/officeDocument/2006/relationships/hyperlink" Target="https://dlib.eastview.com/" TargetMode="External"/><Relationship Id="rId559" Type="http://schemas.openxmlformats.org/officeDocument/2006/relationships/hyperlink" Target="https://dlib.eastview.com/" TargetMode="External"/><Relationship Id="rId560" Type="http://schemas.openxmlformats.org/officeDocument/2006/relationships/hyperlink" Target="https://dlib.eastview.com/" TargetMode="External"/><Relationship Id="rId561" Type="http://schemas.openxmlformats.org/officeDocument/2006/relationships/hyperlink" Target="https://dlib.eastview.com/" TargetMode="External"/><Relationship Id="rId562" Type="http://schemas.openxmlformats.org/officeDocument/2006/relationships/hyperlink" Target="https://dlib.eastview.com/" TargetMode="External"/><Relationship Id="rId563" Type="http://schemas.openxmlformats.org/officeDocument/2006/relationships/hyperlink" Target="https://dlib.eastview.com/" TargetMode="External"/><Relationship Id="rId564" Type="http://schemas.openxmlformats.org/officeDocument/2006/relationships/hyperlink" Target="https://dlib.eastview.com/" TargetMode="External"/><Relationship Id="rId565" Type="http://schemas.openxmlformats.org/officeDocument/2006/relationships/hyperlink" Target="https://dlib.eastview.com/" TargetMode="External"/><Relationship Id="rId566" Type="http://schemas.openxmlformats.org/officeDocument/2006/relationships/hyperlink" Target="https://dlib.eastview.com/" TargetMode="External"/><Relationship Id="rId567" Type="http://schemas.openxmlformats.org/officeDocument/2006/relationships/hyperlink" Target="https://dlib.eastview.com/" TargetMode="External"/><Relationship Id="rId568" Type="http://schemas.openxmlformats.org/officeDocument/2006/relationships/hyperlink" Target="https://dlib.eastview.com/" TargetMode="External"/><Relationship Id="rId569" Type="http://schemas.openxmlformats.org/officeDocument/2006/relationships/hyperlink" Target="https://dlib.eastview.com/" TargetMode="External"/><Relationship Id="rId570" Type="http://schemas.openxmlformats.org/officeDocument/2006/relationships/hyperlink" Target="https://dlib.eastview.com/" TargetMode="External"/><Relationship Id="rId571" Type="http://schemas.openxmlformats.org/officeDocument/2006/relationships/hyperlink" Target="https://dlib.eastview.com/" TargetMode="External"/><Relationship Id="rId572" Type="http://schemas.openxmlformats.org/officeDocument/2006/relationships/hyperlink" Target="https://dlib.eastview.com/" TargetMode="External"/><Relationship Id="rId573" Type="http://schemas.openxmlformats.org/officeDocument/2006/relationships/hyperlink" Target="https://dlib.eastview.com/" TargetMode="External"/><Relationship Id="rId574" Type="http://schemas.openxmlformats.org/officeDocument/2006/relationships/hyperlink" Target="https://dlib.eastview.com/" TargetMode="External"/><Relationship Id="rId575" Type="http://schemas.openxmlformats.org/officeDocument/2006/relationships/hyperlink" Target="https://dlib.eastview.com/" TargetMode="External"/><Relationship Id="rId576" Type="http://schemas.openxmlformats.org/officeDocument/2006/relationships/hyperlink" Target="https://dlib.eastview.com/" TargetMode="External"/><Relationship Id="rId577" Type="http://schemas.openxmlformats.org/officeDocument/2006/relationships/hyperlink" Target="https://dlib.eastview.com/" TargetMode="External"/><Relationship Id="rId578" Type="http://schemas.openxmlformats.org/officeDocument/2006/relationships/hyperlink" Target="https://dlib.eastview.com/" TargetMode="External"/><Relationship Id="rId579" Type="http://schemas.openxmlformats.org/officeDocument/2006/relationships/hyperlink" Target="https://dlib.eastview.com/" TargetMode="External"/><Relationship Id="rId580" Type="http://schemas.openxmlformats.org/officeDocument/2006/relationships/hyperlink" Target="https://dlib.eastview.com/" TargetMode="External"/><Relationship Id="rId581" Type="http://schemas.openxmlformats.org/officeDocument/2006/relationships/hyperlink" Target="https://dlib.eastview.com/" TargetMode="External"/><Relationship Id="rId582" Type="http://schemas.openxmlformats.org/officeDocument/2006/relationships/hyperlink" Target="https://dlib.eastview.com/" TargetMode="External"/><Relationship Id="rId583" Type="http://schemas.openxmlformats.org/officeDocument/2006/relationships/hyperlink" Target="https://dlib.eastview.com/" TargetMode="External"/><Relationship Id="rId584" Type="http://schemas.openxmlformats.org/officeDocument/2006/relationships/hyperlink" Target="https://dlib.eastview.com/" TargetMode="External"/><Relationship Id="rId585" Type="http://schemas.openxmlformats.org/officeDocument/2006/relationships/hyperlink" Target="https://dlib.eastview.com/" TargetMode="External"/><Relationship Id="rId586" Type="http://schemas.openxmlformats.org/officeDocument/2006/relationships/hyperlink" Target="https://dlib.eastview.com/" TargetMode="External"/><Relationship Id="rId587" Type="http://schemas.openxmlformats.org/officeDocument/2006/relationships/hyperlink" Target="https://dlib.eastview.com/" TargetMode="External"/><Relationship Id="rId588" Type="http://schemas.openxmlformats.org/officeDocument/2006/relationships/hyperlink" Target="https://dlib.eastview.com/" TargetMode="External"/><Relationship Id="rId589" Type="http://schemas.openxmlformats.org/officeDocument/2006/relationships/hyperlink" Target="https://dlib.eastview.com/" TargetMode="External"/><Relationship Id="rId590" Type="http://schemas.openxmlformats.org/officeDocument/2006/relationships/hyperlink" Target="https://dlib.eastview.com/" TargetMode="External"/><Relationship Id="rId591" Type="http://schemas.openxmlformats.org/officeDocument/2006/relationships/hyperlink" Target="https://dlib.eastview.com/" TargetMode="External"/><Relationship Id="rId592" Type="http://schemas.openxmlformats.org/officeDocument/2006/relationships/hyperlink" Target="https://dlib.eastview.com/" TargetMode="External"/><Relationship Id="rId593" Type="http://schemas.openxmlformats.org/officeDocument/2006/relationships/hyperlink" Target="https://dlib.eastview.com/" TargetMode="External"/><Relationship Id="rId594" Type="http://schemas.openxmlformats.org/officeDocument/2006/relationships/hyperlink" Target="https://dlib.eastview.com/" TargetMode="External"/><Relationship Id="rId595" Type="http://schemas.openxmlformats.org/officeDocument/2006/relationships/hyperlink" Target="https://dlib.eastview.com/" TargetMode="External"/><Relationship Id="rId596" Type="http://schemas.openxmlformats.org/officeDocument/2006/relationships/hyperlink" Target="https://dlib.eastview.com/" TargetMode="External"/><Relationship Id="rId597" Type="http://schemas.openxmlformats.org/officeDocument/2006/relationships/hyperlink" Target="https://dlib.eastview.com/" TargetMode="External"/><Relationship Id="rId598" Type="http://schemas.openxmlformats.org/officeDocument/2006/relationships/hyperlink" Target="https://dlib.eastview.com/" TargetMode="External"/><Relationship Id="rId599" Type="http://schemas.openxmlformats.org/officeDocument/2006/relationships/hyperlink" Target="https://dlib.eastview.com/" TargetMode="External"/><Relationship Id="rId600" Type="http://schemas.openxmlformats.org/officeDocument/2006/relationships/hyperlink" Target="https://dlib.eastview.com/" TargetMode="External"/><Relationship Id="rId601" Type="http://schemas.openxmlformats.org/officeDocument/2006/relationships/hyperlink" Target="https://dlib.eastview.com/" TargetMode="External"/><Relationship Id="rId602" Type="http://schemas.openxmlformats.org/officeDocument/2006/relationships/hyperlink" Target="https://dlib.eastview.com/" TargetMode="External"/><Relationship Id="rId603" Type="http://schemas.openxmlformats.org/officeDocument/2006/relationships/hyperlink" Target="https://dlib.eastview.com/" TargetMode="External"/><Relationship Id="rId604" Type="http://schemas.openxmlformats.org/officeDocument/2006/relationships/hyperlink" Target="https://dlib.eastview.com/" TargetMode="External"/><Relationship Id="rId605" Type="http://schemas.openxmlformats.org/officeDocument/2006/relationships/hyperlink" Target="https://dlib.eastview.com/" TargetMode="External"/><Relationship Id="rId606" Type="http://schemas.openxmlformats.org/officeDocument/2006/relationships/hyperlink" Target="https://dlib.eastview.com/" TargetMode="External"/><Relationship Id="rId607" Type="http://schemas.openxmlformats.org/officeDocument/2006/relationships/hyperlink" Target="https://dlib.eastview.com/" TargetMode="External"/><Relationship Id="rId608" Type="http://schemas.openxmlformats.org/officeDocument/2006/relationships/hyperlink" Target="https://dlib.eastview.com/" TargetMode="External"/><Relationship Id="rId609" Type="http://schemas.openxmlformats.org/officeDocument/2006/relationships/hyperlink" Target="https://dlib.eastview.com/" TargetMode="External"/><Relationship Id="rId610" Type="http://schemas.openxmlformats.org/officeDocument/2006/relationships/hyperlink" Target="https://dlib.eastview.com/" TargetMode="External"/><Relationship Id="rId611" Type="http://schemas.openxmlformats.org/officeDocument/2006/relationships/hyperlink" Target="https://dlib.eastview.com/" TargetMode="External"/><Relationship Id="rId612" Type="http://schemas.openxmlformats.org/officeDocument/2006/relationships/hyperlink" Target="https://dlib.eastview.com/" TargetMode="External"/><Relationship Id="rId613" Type="http://schemas.openxmlformats.org/officeDocument/2006/relationships/hyperlink" Target="https://dlib.eastview.com/" TargetMode="External"/><Relationship Id="rId614" Type="http://schemas.openxmlformats.org/officeDocument/2006/relationships/hyperlink" Target="https://dlib.eastview.com/" TargetMode="External"/><Relationship Id="rId615" Type="http://schemas.openxmlformats.org/officeDocument/2006/relationships/hyperlink" Target="https://dlib.eastview.com/" TargetMode="External"/><Relationship Id="rId616" Type="http://schemas.openxmlformats.org/officeDocument/2006/relationships/hyperlink" Target="https://dlib.eastview.com/" TargetMode="External"/><Relationship Id="rId617" Type="http://schemas.openxmlformats.org/officeDocument/2006/relationships/hyperlink" Target="https://dlib.eastview.com/" TargetMode="External"/><Relationship Id="rId618" Type="http://schemas.openxmlformats.org/officeDocument/2006/relationships/hyperlink" Target="https://dlib.eastview.com/" TargetMode="External"/><Relationship Id="rId619" Type="http://schemas.openxmlformats.org/officeDocument/2006/relationships/hyperlink" Target="https://dlib.eastview.com/" TargetMode="External"/><Relationship Id="rId620" Type="http://schemas.openxmlformats.org/officeDocument/2006/relationships/hyperlink" Target="https://dlib.eastview.com/" TargetMode="External"/><Relationship Id="rId621" Type="http://schemas.openxmlformats.org/officeDocument/2006/relationships/hyperlink" Target="https://dlib.eastview.com/" TargetMode="External"/><Relationship Id="rId622" Type="http://schemas.openxmlformats.org/officeDocument/2006/relationships/hyperlink" Target="https://dlib.eastview.com/" TargetMode="External"/><Relationship Id="rId623" Type="http://schemas.openxmlformats.org/officeDocument/2006/relationships/hyperlink" Target="https://dlib.eastview.com/" TargetMode="External"/><Relationship Id="rId624" Type="http://schemas.openxmlformats.org/officeDocument/2006/relationships/hyperlink" Target="https://dlib.eastview.com/" TargetMode="External"/><Relationship Id="rId625" Type="http://schemas.openxmlformats.org/officeDocument/2006/relationships/hyperlink" Target="https://dlib.eastview.com/" TargetMode="External"/><Relationship Id="rId626" Type="http://schemas.openxmlformats.org/officeDocument/2006/relationships/hyperlink" Target="https://dlib.eastview.com/" TargetMode="External"/><Relationship Id="rId627" Type="http://schemas.openxmlformats.org/officeDocument/2006/relationships/hyperlink" Target="https://dlib.eastview.com/" TargetMode="External"/><Relationship Id="rId628" Type="http://schemas.openxmlformats.org/officeDocument/2006/relationships/hyperlink" Target="https://dlib.eastview.com/" TargetMode="External"/><Relationship Id="rId629" Type="http://schemas.openxmlformats.org/officeDocument/2006/relationships/hyperlink" Target="https://dlib.eastview.com/" TargetMode="External"/><Relationship Id="rId630" Type="http://schemas.openxmlformats.org/officeDocument/2006/relationships/hyperlink" Target="https://dlib.eastview.com/" TargetMode="External"/><Relationship Id="rId631" Type="http://schemas.openxmlformats.org/officeDocument/2006/relationships/hyperlink" Target="https://dlib.eastview.com/" TargetMode="External"/><Relationship Id="rId632" Type="http://schemas.openxmlformats.org/officeDocument/2006/relationships/hyperlink" Target="https://dlib.eastview.com/" TargetMode="External"/><Relationship Id="rId633" Type="http://schemas.openxmlformats.org/officeDocument/2006/relationships/hyperlink" Target="https://dlib.eastview.com/" TargetMode="External"/><Relationship Id="rId634" Type="http://schemas.openxmlformats.org/officeDocument/2006/relationships/hyperlink" Target="https://dlib.eastview.com/" TargetMode="External"/><Relationship Id="rId635" Type="http://schemas.openxmlformats.org/officeDocument/2006/relationships/hyperlink" Target="https://dlib.eastview.com/" TargetMode="External"/><Relationship Id="rId636" Type="http://schemas.openxmlformats.org/officeDocument/2006/relationships/hyperlink" Target="https://dlib.eastview.com/" TargetMode="External"/><Relationship Id="rId637" Type="http://schemas.openxmlformats.org/officeDocument/2006/relationships/hyperlink" Target="https://dlib.eastview.com/" TargetMode="External"/><Relationship Id="rId638" Type="http://schemas.openxmlformats.org/officeDocument/2006/relationships/hyperlink" Target="https://dlib.eastview.com/" TargetMode="External"/><Relationship Id="rId639" Type="http://schemas.openxmlformats.org/officeDocument/2006/relationships/hyperlink" Target="https://dlib.eastview.com/" TargetMode="External"/><Relationship Id="rId640" Type="http://schemas.openxmlformats.org/officeDocument/2006/relationships/hyperlink" Target="https://dlib.eastview.com/" TargetMode="External"/><Relationship Id="rId641" Type="http://schemas.openxmlformats.org/officeDocument/2006/relationships/hyperlink" Target="https://dlib.eastview.com/" TargetMode="External"/><Relationship Id="rId642" Type="http://schemas.openxmlformats.org/officeDocument/2006/relationships/hyperlink" Target="http://www.panor.ru/" TargetMode="External"/><Relationship Id="rId643" Type="http://schemas.openxmlformats.org/officeDocument/2006/relationships/hyperlink" Target="https://dlib.eastview.com/" TargetMode="External"/><Relationship Id="rId644" Type="http://schemas.openxmlformats.org/officeDocument/2006/relationships/hyperlink" Target="https://dlib.eastview.com/" TargetMode="External"/><Relationship Id="rId645" Type="http://schemas.openxmlformats.org/officeDocument/2006/relationships/hyperlink" Target="https://dlib.eastview.com/" TargetMode="External"/><Relationship Id="rId646" Type="http://schemas.openxmlformats.org/officeDocument/2006/relationships/hyperlink" Target="https://dlib.eastview.com/" TargetMode="External"/><Relationship Id="rId647" Type="http://schemas.openxmlformats.org/officeDocument/2006/relationships/hyperlink" Target="https://dlib.eastview.com/" TargetMode="External"/><Relationship Id="rId648" Type="http://schemas.openxmlformats.org/officeDocument/2006/relationships/hyperlink" Target="https://dlib.eastview.com/" TargetMode="External"/><Relationship Id="rId649" Type="http://schemas.openxmlformats.org/officeDocument/2006/relationships/hyperlink" Target="https://dlib.eastview.com/" TargetMode="External"/><Relationship Id="rId650" Type="http://schemas.openxmlformats.org/officeDocument/2006/relationships/hyperlink" Target="https://dlib.eastview.com/" TargetMode="External"/><Relationship Id="rId651" Type="http://schemas.openxmlformats.org/officeDocument/2006/relationships/hyperlink" Target="https://dlib.eastview.com/" TargetMode="External"/><Relationship Id="rId652" Type="http://schemas.openxmlformats.org/officeDocument/2006/relationships/hyperlink" Target="https://dlib.eastview.com/" TargetMode="External"/><Relationship Id="rId653" Type="http://schemas.openxmlformats.org/officeDocument/2006/relationships/hyperlink" Target="https://dlib.eastview.com/" TargetMode="External"/><Relationship Id="rId654" Type="http://schemas.openxmlformats.org/officeDocument/2006/relationships/hyperlink" Target="https://dlib.eastview.com/" TargetMode="External"/><Relationship Id="rId655" Type="http://schemas.openxmlformats.org/officeDocument/2006/relationships/hyperlink" Target="https://dlib.eastview.com/" TargetMode="External"/><Relationship Id="rId656" Type="http://schemas.openxmlformats.org/officeDocument/2006/relationships/hyperlink" Target="https://dlib.eastview.com/" TargetMode="External"/><Relationship Id="rId657" Type="http://schemas.openxmlformats.org/officeDocument/2006/relationships/hyperlink" Target="https://dlib.eastview.com/" TargetMode="External"/><Relationship Id="rId658" Type="http://schemas.openxmlformats.org/officeDocument/2006/relationships/hyperlink" Target="https://dlib.eastview.com/" TargetMode="External"/><Relationship Id="rId659" Type="http://schemas.openxmlformats.org/officeDocument/2006/relationships/hyperlink" Target="https://dlib.eastview.com/" TargetMode="External"/><Relationship Id="rId660" Type="http://schemas.openxmlformats.org/officeDocument/2006/relationships/hyperlink" Target="http://www.panor.ru/" TargetMode="External"/><Relationship Id="rId661" Type="http://schemas.openxmlformats.org/officeDocument/2006/relationships/hyperlink" Target="https://dlib.eastview.com/" TargetMode="External"/><Relationship Id="rId662" Type="http://schemas.openxmlformats.org/officeDocument/2006/relationships/hyperlink" Target="https://dlib.eastview.com/" TargetMode="External"/><Relationship Id="rId663" Type="http://schemas.openxmlformats.org/officeDocument/2006/relationships/hyperlink" Target="https://dlib.eastview.com/" TargetMode="External"/><Relationship Id="rId664" Type="http://schemas.openxmlformats.org/officeDocument/2006/relationships/hyperlink" Target="https://dlib.eastview.com/" TargetMode="External"/><Relationship Id="rId665" Type="http://schemas.openxmlformats.org/officeDocument/2006/relationships/hyperlink" Target="https://dlib.eastview.com/" TargetMode="External"/><Relationship Id="rId666" Type="http://schemas.openxmlformats.org/officeDocument/2006/relationships/hyperlink" Target="https://dlib.eastview.com/" TargetMode="External"/><Relationship Id="rId667" Type="http://schemas.openxmlformats.org/officeDocument/2006/relationships/hyperlink" Target="https://dlib.eastview.com/" TargetMode="External"/><Relationship Id="rId668" Type="http://schemas.openxmlformats.org/officeDocument/2006/relationships/hyperlink" Target="https://dlib.eastview.com/" TargetMode="External"/><Relationship Id="rId669" Type="http://schemas.openxmlformats.org/officeDocument/2006/relationships/hyperlink" Target="https://dlib.eastview.com/" TargetMode="External"/><Relationship Id="rId670" Type="http://schemas.openxmlformats.org/officeDocument/2006/relationships/hyperlink" Target="https://dlib.eastview.com/" TargetMode="External"/><Relationship Id="rId671" Type="http://schemas.openxmlformats.org/officeDocument/2006/relationships/hyperlink" Target="https://dlib.eastview.com/" TargetMode="External"/><Relationship Id="rId672" Type="http://schemas.openxmlformats.org/officeDocument/2006/relationships/hyperlink" Target="https://dlib.eastview.com/" TargetMode="External"/><Relationship Id="rId673" Type="http://schemas.openxmlformats.org/officeDocument/2006/relationships/hyperlink" Target="https://dlib.eastview.com/" TargetMode="External"/><Relationship Id="rId674" Type="http://schemas.openxmlformats.org/officeDocument/2006/relationships/hyperlink" Target="https://dlib.eastview.com/" TargetMode="External"/><Relationship Id="rId675" Type="http://schemas.openxmlformats.org/officeDocument/2006/relationships/hyperlink" Target="https://dlib.eastview.com/" TargetMode="External"/><Relationship Id="rId676" Type="http://schemas.openxmlformats.org/officeDocument/2006/relationships/hyperlink" Target="https://dlib.eastview.com/" TargetMode="External"/><Relationship Id="rId677" Type="http://schemas.openxmlformats.org/officeDocument/2006/relationships/hyperlink" Target="https://dlib.eastview.com/" TargetMode="External"/><Relationship Id="rId678" Type="http://schemas.openxmlformats.org/officeDocument/2006/relationships/hyperlink" Target="https://dlib.eastview.com/" TargetMode="External"/><Relationship Id="rId679" Type="http://schemas.openxmlformats.org/officeDocument/2006/relationships/hyperlink" Target="https://dlib.eastview.com/" TargetMode="External"/><Relationship Id="rId680" Type="http://schemas.openxmlformats.org/officeDocument/2006/relationships/hyperlink" Target="https://dlib.eastview.com/" TargetMode="External"/><Relationship Id="rId681" Type="http://schemas.openxmlformats.org/officeDocument/2006/relationships/hyperlink" Target="https://dlib.eastview.com/" TargetMode="External"/><Relationship Id="rId682" Type="http://schemas.openxmlformats.org/officeDocument/2006/relationships/hyperlink" Target="https://dlib.eastview.com/" TargetMode="External"/><Relationship Id="rId683" Type="http://schemas.openxmlformats.org/officeDocument/2006/relationships/hyperlink" Target="https://dlib.eastview.com/" TargetMode="External"/><Relationship Id="rId684" Type="http://schemas.openxmlformats.org/officeDocument/2006/relationships/hyperlink" Target="https://dlib.eastview.com/" TargetMode="External"/><Relationship Id="rId685" Type="http://schemas.openxmlformats.org/officeDocument/2006/relationships/hyperlink" Target="https://dlib.eastview.com/" TargetMode="External"/><Relationship Id="rId686" Type="http://schemas.openxmlformats.org/officeDocument/2006/relationships/hyperlink" Target="https://dlib.eastview.com/" TargetMode="External"/><Relationship Id="rId687" Type="http://schemas.openxmlformats.org/officeDocument/2006/relationships/hyperlink" Target="https://dlib.eastview.com/" TargetMode="External"/><Relationship Id="rId688" Type="http://schemas.openxmlformats.org/officeDocument/2006/relationships/hyperlink" Target="https://dlib.eastview.com/" TargetMode="External"/><Relationship Id="rId689" Type="http://schemas.openxmlformats.org/officeDocument/2006/relationships/hyperlink" Target="https://dlib.eastview.com/" TargetMode="External"/><Relationship Id="rId690" Type="http://schemas.openxmlformats.org/officeDocument/2006/relationships/hyperlink" Target="https://dlib.eastview.com/" TargetMode="External"/><Relationship Id="rId691" Type="http://schemas.openxmlformats.org/officeDocument/2006/relationships/hyperlink" Target="https://dlib.eastview.com/" TargetMode="External"/><Relationship Id="rId692" Type="http://schemas.openxmlformats.org/officeDocument/2006/relationships/hyperlink" Target="https://dlib.eastview.com/" TargetMode="External"/><Relationship Id="rId693" Type="http://schemas.openxmlformats.org/officeDocument/2006/relationships/hyperlink" Target="https://dlib.eastview.com/" TargetMode="External"/><Relationship Id="rId694" Type="http://schemas.openxmlformats.org/officeDocument/2006/relationships/hyperlink" Target="https://dlib.eastview.com/" TargetMode="External"/><Relationship Id="rId695" Type="http://schemas.openxmlformats.org/officeDocument/2006/relationships/hyperlink" Target="https://dlib.eastview.com/" TargetMode="External"/><Relationship Id="rId696" Type="http://schemas.openxmlformats.org/officeDocument/2006/relationships/hyperlink" Target="https://dlib.eastview.com/" TargetMode="External"/><Relationship Id="rId697" Type="http://schemas.openxmlformats.org/officeDocument/2006/relationships/hyperlink" Target="https://dlib.eastview.com/" TargetMode="External"/><Relationship Id="rId698" Type="http://schemas.openxmlformats.org/officeDocument/2006/relationships/hyperlink" Target="https://dlib.eastview.com/" TargetMode="External"/><Relationship Id="rId699" Type="http://schemas.openxmlformats.org/officeDocument/2006/relationships/hyperlink" Target="https://dlib.eastview.com/" TargetMode="External"/><Relationship Id="rId700" Type="http://schemas.openxmlformats.org/officeDocument/2006/relationships/hyperlink" Target="https://dlib.eastview.com/" TargetMode="External"/><Relationship Id="rId701" Type="http://schemas.openxmlformats.org/officeDocument/2006/relationships/hyperlink" Target="https://dlib.eastview.com/" TargetMode="External"/><Relationship Id="rId702" Type="http://schemas.openxmlformats.org/officeDocument/2006/relationships/hyperlink" Target="https://dlib.eastview.com/" TargetMode="External"/><Relationship Id="rId703" Type="http://schemas.openxmlformats.org/officeDocument/2006/relationships/hyperlink" Target="https://dlib.eastview.com/" TargetMode="External"/><Relationship Id="rId704" Type="http://schemas.openxmlformats.org/officeDocument/2006/relationships/hyperlink" Target="https://dlib.eastview.com/" TargetMode="External"/><Relationship Id="rId705" Type="http://schemas.openxmlformats.org/officeDocument/2006/relationships/hyperlink" Target="https://dlib.eastview.com/" TargetMode="External"/><Relationship Id="rId706" Type="http://schemas.openxmlformats.org/officeDocument/2006/relationships/hyperlink" Target="https://dlib.eastview.com/" TargetMode="External"/><Relationship Id="rId707" Type="http://schemas.openxmlformats.org/officeDocument/2006/relationships/hyperlink" Target="https://dlib.eastview.com/" TargetMode="External"/><Relationship Id="rId708" Type="http://schemas.openxmlformats.org/officeDocument/2006/relationships/hyperlink" Target="https://dlib.eastview.com/" TargetMode="External"/><Relationship Id="rId709" Type="http://schemas.openxmlformats.org/officeDocument/2006/relationships/hyperlink" Target="https://dlib.eastview.com/" TargetMode="External"/><Relationship Id="rId710" Type="http://schemas.openxmlformats.org/officeDocument/2006/relationships/hyperlink" Target="https://dlib.eastview.com/" TargetMode="External"/><Relationship Id="rId711" Type="http://schemas.openxmlformats.org/officeDocument/2006/relationships/hyperlink" Target="https://dlib.eastview.com/" TargetMode="External"/><Relationship Id="rId712" Type="http://schemas.openxmlformats.org/officeDocument/2006/relationships/hyperlink" Target="https://dlib.eastview.com/" TargetMode="External"/><Relationship Id="rId713" Type="http://schemas.openxmlformats.org/officeDocument/2006/relationships/hyperlink" Target="https://dlib.eastview.com/" TargetMode="External"/><Relationship Id="rId714" Type="http://schemas.openxmlformats.org/officeDocument/2006/relationships/hyperlink" Target="https://dlib.eastview.com/" TargetMode="External"/><Relationship Id="rId715" Type="http://schemas.openxmlformats.org/officeDocument/2006/relationships/hyperlink" Target="https://dlib.eastview.com/" TargetMode="External"/><Relationship Id="rId716" Type="http://schemas.openxmlformats.org/officeDocument/2006/relationships/hyperlink" Target="https://dlib.eastview.com/" TargetMode="External"/><Relationship Id="rId717" Type="http://schemas.openxmlformats.org/officeDocument/2006/relationships/hyperlink" Target="https://dlib.eastview.com/" TargetMode="External"/><Relationship Id="rId718" Type="http://schemas.openxmlformats.org/officeDocument/2006/relationships/hyperlink" Target="https://dlib.eastview.com/" TargetMode="External"/><Relationship Id="rId719" Type="http://schemas.openxmlformats.org/officeDocument/2006/relationships/hyperlink" Target="https://dlib.eastview.com/" TargetMode="External"/><Relationship Id="rId720" Type="http://schemas.openxmlformats.org/officeDocument/2006/relationships/hyperlink" Target="https://dlib.eastview.com/" TargetMode="External"/><Relationship Id="rId721" Type="http://schemas.openxmlformats.org/officeDocument/2006/relationships/hyperlink" Target="https://dlib.eastview.com/" TargetMode="External"/><Relationship Id="rId722" Type="http://schemas.openxmlformats.org/officeDocument/2006/relationships/hyperlink" Target="https://dlib.eastview.com/" TargetMode="External"/><Relationship Id="rId723" Type="http://schemas.openxmlformats.org/officeDocument/2006/relationships/hyperlink" Target="https://dlib.eastview.com/" TargetMode="External"/><Relationship Id="rId724" Type="http://schemas.openxmlformats.org/officeDocument/2006/relationships/hyperlink" Target="https://dlib.eastview.com/" TargetMode="External"/><Relationship Id="rId725" Type="http://schemas.openxmlformats.org/officeDocument/2006/relationships/hyperlink" Target="https://dlib.eastview.com/" TargetMode="External"/><Relationship Id="rId726" Type="http://schemas.openxmlformats.org/officeDocument/2006/relationships/hyperlink" Target="https://dlib.eastview.com/" TargetMode="External"/><Relationship Id="rId727" Type="http://schemas.openxmlformats.org/officeDocument/2006/relationships/hyperlink" Target="https://dlib.eastview.com/" TargetMode="External"/><Relationship Id="rId728" Type="http://schemas.openxmlformats.org/officeDocument/2006/relationships/hyperlink" Target="https://dlib.eastview.com/" TargetMode="External"/><Relationship Id="rId729" Type="http://schemas.openxmlformats.org/officeDocument/2006/relationships/hyperlink" Target="https://dlib.eastview.com/" TargetMode="External"/><Relationship Id="rId730" Type="http://schemas.openxmlformats.org/officeDocument/2006/relationships/hyperlink" Target="https://dlib.eastview.com/" TargetMode="External"/><Relationship Id="rId731" Type="http://schemas.openxmlformats.org/officeDocument/2006/relationships/hyperlink" Target="https://dlib.eastview.com/" TargetMode="External"/><Relationship Id="rId732" Type="http://schemas.openxmlformats.org/officeDocument/2006/relationships/hyperlink" Target="https://dlib.eastview.com/" TargetMode="External"/><Relationship Id="rId733" Type="http://schemas.openxmlformats.org/officeDocument/2006/relationships/hyperlink" Target="https://dlib.eastview.com/" TargetMode="External"/><Relationship Id="rId734" Type="http://schemas.openxmlformats.org/officeDocument/2006/relationships/hyperlink" Target="https://dlib.eastview.com/" TargetMode="External"/><Relationship Id="rId735" Type="http://schemas.openxmlformats.org/officeDocument/2006/relationships/hyperlink" Target="https://dlib.eastview.com/" TargetMode="External"/><Relationship Id="rId736" Type="http://schemas.openxmlformats.org/officeDocument/2006/relationships/hyperlink" Target="https://dlib.eastview.com/" TargetMode="External"/><Relationship Id="rId737" Type="http://schemas.openxmlformats.org/officeDocument/2006/relationships/hyperlink" Target="https://dlib.eastview.com/" TargetMode="External"/><Relationship Id="rId738" Type="http://schemas.openxmlformats.org/officeDocument/2006/relationships/hyperlink" Target="https://dlib.eastview.com/" TargetMode="External"/><Relationship Id="rId739" Type="http://schemas.openxmlformats.org/officeDocument/2006/relationships/hyperlink" Target="https://dlib.eastview.com/" TargetMode="External"/><Relationship Id="rId740" Type="http://schemas.openxmlformats.org/officeDocument/2006/relationships/hyperlink" Target="https://dlib.eastview.com/" TargetMode="External"/><Relationship Id="rId741" Type="http://schemas.openxmlformats.org/officeDocument/2006/relationships/hyperlink" Target="https://dlib.eastview.com/" TargetMode="External"/><Relationship Id="rId742" Type="http://schemas.openxmlformats.org/officeDocument/2006/relationships/hyperlink" Target="https://dlib.eastview.com/" TargetMode="External"/><Relationship Id="rId743" Type="http://schemas.openxmlformats.org/officeDocument/2006/relationships/hyperlink" Target="https://dlib.eastview.com/" TargetMode="External"/><Relationship Id="rId744" Type="http://schemas.openxmlformats.org/officeDocument/2006/relationships/hyperlink" Target="https://dlib.eastview.com/" TargetMode="External"/><Relationship Id="rId745" Type="http://schemas.openxmlformats.org/officeDocument/2006/relationships/hyperlink" Target="https://dlib.eastview.com/" TargetMode="External"/><Relationship Id="rId746" Type="http://schemas.openxmlformats.org/officeDocument/2006/relationships/hyperlink" Target="https://dlib.eastview.com/" TargetMode="External"/><Relationship Id="rId747" Type="http://schemas.openxmlformats.org/officeDocument/2006/relationships/hyperlink" Target="https://dlib.eastview.com/" TargetMode="External"/><Relationship Id="rId748" Type="http://schemas.openxmlformats.org/officeDocument/2006/relationships/hyperlink" Target="https://dlib.eastview.com/" TargetMode="External"/><Relationship Id="rId749" Type="http://schemas.openxmlformats.org/officeDocument/2006/relationships/hyperlink" Target="https://dlib.eastview.com/" TargetMode="External"/><Relationship Id="rId750" Type="http://schemas.openxmlformats.org/officeDocument/2006/relationships/hyperlink" Target="https://dlib.eastview.com/" TargetMode="External"/><Relationship Id="rId751" Type="http://schemas.openxmlformats.org/officeDocument/2006/relationships/hyperlink" Target="https://dlib.eastview.com/" TargetMode="External"/><Relationship Id="rId752" Type="http://schemas.openxmlformats.org/officeDocument/2006/relationships/hyperlink" Target="https://dlib.eastview.com/" TargetMode="External"/><Relationship Id="rId753" Type="http://schemas.openxmlformats.org/officeDocument/2006/relationships/hyperlink" Target="http://www.panor.ru/" TargetMode="External"/><Relationship Id="rId754" Type="http://schemas.openxmlformats.org/officeDocument/2006/relationships/hyperlink" Target="https://dlib.eastview.com/" TargetMode="External"/><Relationship Id="rId755" Type="http://schemas.openxmlformats.org/officeDocument/2006/relationships/hyperlink" Target="https://dlib.eastview.com/" TargetMode="External"/><Relationship Id="rId756" Type="http://schemas.openxmlformats.org/officeDocument/2006/relationships/hyperlink" Target="https://dlib.eastview.com/" TargetMode="External"/><Relationship Id="rId757" Type="http://schemas.openxmlformats.org/officeDocument/2006/relationships/hyperlink" Target="https://dlib.eastview.com/" TargetMode="External"/><Relationship Id="rId758" Type="http://schemas.openxmlformats.org/officeDocument/2006/relationships/hyperlink" Target="https://dlib.eastview.com/" TargetMode="External"/><Relationship Id="rId759" Type="http://schemas.openxmlformats.org/officeDocument/2006/relationships/hyperlink" Target="https://dlib.eastview.com/" TargetMode="External"/><Relationship Id="rId760" Type="http://schemas.openxmlformats.org/officeDocument/2006/relationships/hyperlink" Target="https://dlib.eastview.com/" TargetMode="External"/><Relationship Id="rId761" Type="http://schemas.openxmlformats.org/officeDocument/2006/relationships/hyperlink" Target="https://dlib.eastview.com/" TargetMode="External"/><Relationship Id="rId762" Type="http://schemas.openxmlformats.org/officeDocument/2006/relationships/hyperlink" Target="https://dlib.eastview.com/" TargetMode="External"/><Relationship Id="rId763" Type="http://schemas.openxmlformats.org/officeDocument/2006/relationships/hyperlink" Target="https://dlib.eastview.com/" TargetMode="External"/><Relationship Id="rId764" Type="http://schemas.openxmlformats.org/officeDocument/2006/relationships/hyperlink" Target="https://dlib.eastview.com/" TargetMode="External"/><Relationship Id="rId765" Type="http://schemas.openxmlformats.org/officeDocument/2006/relationships/hyperlink" Target="https://dlib.eastview.com/" TargetMode="External"/><Relationship Id="rId766" Type="http://schemas.openxmlformats.org/officeDocument/2006/relationships/hyperlink" Target="https://dlib.eastview.com/" TargetMode="External"/><Relationship Id="rId767" Type="http://schemas.openxmlformats.org/officeDocument/2006/relationships/hyperlink" Target="https://dlib.eastview.com/" TargetMode="External"/><Relationship Id="rId768" Type="http://schemas.openxmlformats.org/officeDocument/2006/relationships/hyperlink" Target="https://dlib.eastview.com/" TargetMode="External"/><Relationship Id="rId769" Type="http://schemas.openxmlformats.org/officeDocument/2006/relationships/hyperlink" Target="https://dlib.eastview.com/" TargetMode="External"/><Relationship Id="rId770" Type="http://schemas.openxmlformats.org/officeDocument/2006/relationships/hyperlink" Target="https://dlib.eastview.com/" TargetMode="External"/><Relationship Id="rId771" Type="http://schemas.openxmlformats.org/officeDocument/2006/relationships/hyperlink" Target="https://dlib.eastview.com/" TargetMode="External"/><Relationship Id="rId772" Type="http://schemas.openxmlformats.org/officeDocument/2006/relationships/hyperlink" Target="https://dlib.eastview.com/" TargetMode="External"/><Relationship Id="rId773" Type="http://schemas.openxmlformats.org/officeDocument/2006/relationships/hyperlink" Target="https://dlib.eastview.com/" TargetMode="External"/><Relationship Id="rId774" Type="http://schemas.openxmlformats.org/officeDocument/2006/relationships/hyperlink" Target="https://dlib.eastview.com/" TargetMode="External"/><Relationship Id="rId775" Type="http://schemas.openxmlformats.org/officeDocument/2006/relationships/hyperlink" Target="https://dlib.eastview.com/" TargetMode="External"/><Relationship Id="rId776" Type="http://schemas.openxmlformats.org/officeDocument/2006/relationships/hyperlink" Target="https://dlib.eastview.com/" TargetMode="External"/><Relationship Id="rId777" Type="http://schemas.openxmlformats.org/officeDocument/2006/relationships/hyperlink" Target="https://dlib.eastview.com/" TargetMode="External"/><Relationship Id="rId778" Type="http://schemas.openxmlformats.org/officeDocument/2006/relationships/hyperlink" Target="https://dlib.eastview.com/" TargetMode="External"/><Relationship Id="rId779" Type="http://schemas.openxmlformats.org/officeDocument/2006/relationships/hyperlink" Target="https://dlib.eastview.com/" TargetMode="External"/><Relationship Id="rId780" Type="http://schemas.openxmlformats.org/officeDocument/2006/relationships/hyperlink" Target="https://dlib.eastview.com/" TargetMode="External"/><Relationship Id="rId781" Type="http://schemas.openxmlformats.org/officeDocument/2006/relationships/hyperlink" Target="https://dlib.eastview.com/" TargetMode="External"/><Relationship Id="rId782" Type="http://schemas.openxmlformats.org/officeDocument/2006/relationships/hyperlink" Target="https://dlib.eastview.com/" TargetMode="External"/><Relationship Id="rId783" Type="http://schemas.openxmlformats.org/officeDocument/2006/relationships/hyperlink" Target="https://dlib.eastview.com/" TargetMode="External"/><Relationship Id="rId784" Type="http://schemas.openxmlformats.org/officeDocument/2006/relationships/hyperlink" Target="https://dlib.eastview.com/" TargetMode="External"/><Relationship Id="rId785" Type="http://schemas.openxmlformats.org/officeDocument/2006/relationships/hyperlink" Target="https://dlib.eastview.com/" TargetMode="External"/><Relationship Id="rId786" Type="http://schemas.openxmlformats.org/officeDocument/2006/relationships/hyperlink" Target="https://dlib.eastview.com/" TargetMode="External"/><Relationship Id="rId787" Type="http://schemas.openxmlformats.org/officeDocument/2006/relationships/hyperlink" Target="https://dlib.eastview.com/" TargetMode="External"/><Relationship Id="rId788" Type="http://schemas.openxmlformats.org/officeDocument/2006/relationships/hyperlink" Target="https://dlib.eastview.com/" TargetMode="External"/><Relationship Id="rId789" Type="http://schemas.openxmlformats.org/officeDocument/2006/relationships/hyperlink" Target="https://dlib.eastview.com/" TargetMode="External"/><Relationship Id="rId790" Type="http://schemas.openxmlformats.org/officeDocument/2006/relationships/hyperlink" Target="https://dlib.eastview.com/" TargetMode="External"/><Relationship Id="rId791" Type="http://schemas.openxmlformats.org/officeDocument/2006/relationships/hyperlink" Target="https://dlib.eastview.com/" TargetMode="External"/><Relationship Id="rId792" Type="http://schemas.openxmlformats.org/officeDocument/2006/relationships/hyperlink" Target="https://dlib.eastview.com/" TargetMode="External"/><Relationship Id="rId793" Type="http://schemas.openxmlformats.org/officeDocument/2006/relationships/hyperlink" Target="https://dlib.eastview.com/" TargetMode="External"/><Relationship Id="rId794" Type="http://schemas.openxmlformats.org/officeDocument/2006/relationships/hyperlink" Target="https://dlib.eastview.com/" TargetMode="External"/><Relationship Id="rId795" Type="http://schemas.openxmlformats.org/officeDocument/2006/relationships/hyperlink" Target="https://dlib.eastview.com/" TargetMode="External"/><Relationship Id="rId796" Type="http://schemas.openxmlformats.org/officeDocument/2006/relationships/hyperlink" Target="https://dlib.eastview.com/" TargetMode="External"/><Relationship Id="rId797" Type="http://schemas.openxmlformats.org/officeDocument/2006/relationships/hyperlink" Target="https://dlib.eastview.com/" TargetMode="External"/><Relationship Id="rId798" Type="http://schemas.openxmlformats.org/officeDocument/2006/relationships/hyperlink" Target="https://dlib.eastview.com/" TargetMode="External"/><Relationship Id="rId799" Type="http://schemas.openxmlformats.org/officeDocument/2006/relationships/hyperlink" Target="https://dlib.eastview.com/" TargetMode="External"/><Relationship Id="rId800" Type="http://schemas.openxmlformats.org/officeDocument/2006/relationships/hyperlink" Target="https://dlib.eastview.com/" TargetMode="External"/><Relationship Id="rId801" Type="http://schemas.openxmlformats.org/officeDocument/2006/relationships/hyperlink" Target="https://dlib.eastview.com/" TargetMode="External"/><Relationship Id="rId802" Type="http://schemas.openxmlformats.org/officeDocument/2006/relationships/hyperlink" Target="https://dlib.eastview.com/" TargetMode="External"/><Relationship Id="rId803" Type="http://schemas.openxmlformats.org/officeDocument/2006/relationships/hyperlink" Target="https://dlib.eastview.com/" TargetMode="External"/><Relationship Id="rId804" Type="http://schemas.openxmlformats.org/officeDocument/2006/relationships/hyperlink" Target="https://dlib.eastview.com/" TargetMode="External"/><Relationship Id="rId805" Type="http://schemas.openxmlformats.org/officeDocument/2006/relationships/hyperlink" Target="https://dlib.eastview.com/" TargetMode="External"/><Relationship Id="rId806" Type="http://schemas.openxmlformats.org/officeDocument/2006/relationships/hyperlink" Target="https://dlib.eastview.com/" TargetMode="External"/><Relationship Id="rId807" Type="http://schemas.openxmlformats.org/officeDocument/2006/relationships/hyperlink" Target="https://dlib.eastview.com/" TargetMode="External"/><Relationship Id="rId808" Type="http://schemas.openxmlformats.org/officeDocument/2006/relationships/hyperlink" Target="https://dlib.eastview.com/" TargetMode="External"/><Relationship Id="rId809" Type="http://schemas.openxmlformats.org/officeDocument/2006/relationships/hyperlink" Target="https://dlib.eastview.com/" TargetMode="External"/><Relationship Id="rId810" Type="http://schemas.openxmlformats.org/officeDocument/2006/relationships/hyperlink" Target="https://dlib.eastview.com/" TargetMode="External"/><Relationship Id="rId811" Type="http://schemas.openxmlformats.org/officeDocument/2006/relationships/hyperlink" Target="https://dlib.eastview.com/" TargetMode="External"/><Relationship Id="rId812" Type="http://schemas.openxmlformats.org/officeDocument/2006/relationships/hyperlink" Target="https://dlib.eastview.com/" TargetMode="External"/><Relationship Id="rId813" Type="http://schemas.openxmlformats.org/officeDocument/2006/relationships/hyperlink" Target="https://dlib.eastview.com/" TargetMode="External"/><Relationship Id="rId814" Type="http://schemas.openxmlformats.org/officeDocument/2006/relationships/hyperlink" Target="https://dlib.eastview.com/" TargetMode="External"/><Relationship Id="rId815" Type="http://schemas.openxmlformats.org/officeDocument/2006/relationships/hyperlink" Target="https://dlib.eastview.com/" TargetMode="External"/><Relationship Id="rId816" Type="http://schemas.openxmlformats.org/officeDocument/2006/relationships/hyperlink" Target="https://dlib.eastview.com/" TargetMode="External"/><Relationship Id="rId817" Type="http://schemas.openxmlformats.org/officeDocument/2006/relationships/hyperlink" Target="https://dlib.eastview.com/" TargetMode="External"/><Relationship Id="rId818" Type="http://schemas.openxmlformats.org/officeDocument/2006/relationships/hyperlink" Target="https://dlib.eastview.com/" TargetMode="External"/><Relationship Id="rId819" Type="http://schemas.openxmlformats.org/officeDocument/2006/relationships/hyperlink" Target="https://dlib.eastview.com/" TargetMode="External"/><Relationship Id="rId820" Type="http://schemas.openxmlformats.org/officeDocument/2006/relationships/hyperlink" Target="https://dlib.eastview.com/" TargetMode="External"/><Relationship Id="rId821" Type="http://schemas.openxmlformats.org/officeDocument/2006/relationships/hyperlink" Target="https://dlib.eastview.com/" TargetMode="External"/><Relationship Id="rId822" Type="http://schemas.openxmlformats.org/officeDocument/2006/relationships/hyperlink" Target="https://dlib.eastview.com/" TargetMode="External"/><Relationship Id="rId823" Type="http://schemas.openxmlformats.org/officeDocument/2006/relationships/hyperlink" Target="https://dlib.eastview.com/" TargetMode="External"/><Relationship Id="rId824" Type="http://schemas.openxmlformats.org/officeDocument/2006/relationships/hyperlink" Target="https://dlib.eastview.com/" TargetMode="External"/><Relationship Id="rId825" Type="http://schemas.openxmlformats.org/officeDocument/2006/relationships/hyperlink" Target="https://dlib.eastview.com/" TargetMode="External"/><Relationship Id="rId826" Type="http://schemas.openxmlformats.org/officeDocument/2006/relationships/hyperlink" Target="https://dlib.eastview.com/" TargetMode="External"/><Relationship Id="rId827" Type="http://schemas.openxmlformats.org/officeDocument/2006/relationships/hyperlink" Target="https://dlib.eastview.com/" TargetMode="External"/><Relationship Id="rId828" Type="http://schemas.openxmlformats.org/officeDocument/2006/relationships/hyperlink" Target="https://dlib.eastview.com/" TargetMode="External"/><Relationship Id="rId829" Type="http://schemas.openxmlformats.org/officeDocument/2006/relationships/hyperlink" Target="https://dlib.eastview.com/" TargetMode="External"/><Relationship Id="rId830" Type="http://schemas.openxmlformats.org/officeDocument/2006/relationships/hyperlink" Target="https://dlib.eastview.com/" TargetMode="External"/><Relationship Id="rId831" Type="http://schemas.openxmlformats.org/officeDocument/2006/relationships/hyperlink" Target="https://dlib.eastview.com/" TargetMode="External"/><Relationship Id="rId832" Type="http://schemas.openxmlformats.org/officeDocument/2006/relationships/hyperlink" Target="https://dlib.eastview.com/" TargetMode="External"/><Relationship Id="rId833" Type="http://schemas.openxmlformats.org/officeDocument/2006/relationships/hyperlink" Target="https://dlib.eastview.com/" TargetMode="External"/><Relationship Id="rId834" Type="http://schemas.openxmlformats.org/officeDocument/2006/relationships/hyperlink" Target="https://dlib.eastview.com/" TargetMode="External"/><Relationship Id="rId835" Type="http://schemas.openxmlformats.org/officeDocument/2006/relationships/hyperlink" Target="https://dlib.eastview.com/" TargetMode="External"/><Relationship Id="rId836" Type="http://schemas.openxmlformats.org/officeDocument/2006/relationships/hyperlink" Target="https://dlib.eastview.com/" TargetMode="External"/><Relationship Id="rId837" Type="http://schemas.openxmlformats.org/officeDocument/2006/relationships/hyperlink" Target="https://dlib.eastview.com/" TargetMode="External"/><Relationship Id="rId838" Type="http://schemas.openxmlformats.org/officeDocument/2006/relationships/hyperlink" Target="https://dlib.eastview.com/" TargetMode="External"/><Relationship Id="rId839" Type="http://schemas.openxmlformats.org/officeDocument/2006/relationships/hyperlink" Target="https://dlib.eastview.com/" TargetMode="External"/><Relationship Id="rId840" Type="http://schemas.openxmlformats.org/officeDocument/2006/relationships/hyperlink" Target="https://dlib.eastview.com/" TargetMode="External"/><Relationship Id="rId841" Type="http://schemas.openxmlformats.org/officeDocument/2006/relationships/hyperlink" Target="https://dlib.eastview.com/" TargetMode="External"/><Relationship Id="rId842" Type="http://schemas.openxmlformats.org/officeDocument/2006/relationships/hyperlink" Target="https://dlib.eastview.com/" TargetMode="External"/><Relationship Id="rId843" Type="http://schemas.openxmlformats.org/officeDocument/2006/relationships/hyperlink" Target="http://www.panor.ru/" TargetMode="External"/><Relationship Id="rId844" Type="http://schemas.openxmlformats.org/officeDocument/2006/relationships/hyperlink" Target="https://dlib.eastview.com/" TargetMode="External"/><Relationship Id="rId845" Type="http://schemas.openxmlformats.org/officeDocument/2006/relationships/hyperlink" Target="https://dlib.eastview.com/" TargetMode="External"/><Relationship Id="rId846" Type="http://schemas.openxmlformats.org/officeDocument/2006/relationships/hyperlink" Target="https://dlib.eastview.com/" TargetMode="External"/><Relationship Id="rId847" Type="http://schemas.openxmlformats.org/officeDocument/2006/relationships/hyperlink" Target="https://dlib.eastview.com/" TargetMode="External"/><Relationship Id="rId848" Type="http://schemas.openxmlformats.org/officeDocument/2006/relationships/hyperlink" Target="https://dlib.eastview.com/" TargetMode="External"/><Relationship Id="rId849" Type="http://schemas.openxmlformats.org/officeDocument/2006/relationships/hyperlink" Target="https://dlib.eastview.com/" TargetMode="External"/><Relationship Id="rId850" Type="http://schemas.openxmlformats.org/officeDocument/2006/relationships/hyperlink" Target="https://dlib.eastview.com/" TargetMode="External"/><Relationship Id="rId851" Type="http://schemas.openxmlformats.org/officeDocument/2006/relationships/hyperlink" Target="https://dlib.eastview.com/" TargetMode="External"/><Relationship Id="rId852" Type="http://schemas.openxmlformats.org/officeDocument/2006/relationships/hyperlink" Target="https://dlib.eastview.com/" TargetMode="External"/><Relationship Id="rId853" Type="http://schemas.openxmlformats.org/officeDocument/2006/relationships/hyperlink" Target="https://dlib.eastview.com/" TargetMode="External"/><Relationship Id="rId854" Type="http://schemas.openxmlformats.org/officeDocument/2006/relationships/hyperlink" Target="https://dlib.eastview.com/" TargetMode="External"/><Relationship Id="rId855" Type="http://schemas.openxmlformats.org/officeDocument/2006/relationships/hyperlink" Target="https://dlib.eastview.com/" TargetMode="External"/><Relationship Id="rId856" Type="http://schemas.openxmlformats.org/officeDocument/2006/relationships/hyperlink" Target="https://dlib.eastview.com/" TargetMode="External"/><Relationship Id="rId857" Type="http://schemas.openxmlformats.org/officeDocument/2006/relationships/hyperlink" Target="https://dlib.eastview.com/" TargetMode="External"/><Relationship Id="rId858" Type="http://schemas.openxmlformats.org/officeDocument/2006/relationships/hyperlink" Target="https://dlib.eastview.com/" TargetMode="External"/><Relationship Id="rId859" Type="http://schemas.openxmlformats.org/officeDocument/2006/relationships/hyperlink" Target="https://dlib.eastview.com/" TargetMode="External"/><Relationship Id="rId860" Type="http://schemas.openxmlformats.org/officeDocument/2006/relationships/hyperlink" Target="https://dlib.eastview.com/" TargetMode="External"/><Relationship Id="rId861" Type="http://schemas.openxmlformats.org/officeDocument/2006/relationships/hyperlink" Target="https://dlib.eastview.com/" TargetMode="External"/><Relationship Id="rId862" Type="http://schemas.openxmlformats.org/officeDocument/2006/relationships/hyperlink" Target="https://dlib.eastview.com/" TargetMode="External"/><Relationship Id="rId863" Type="http://schemas.openxmlformats.org/officeDocument/2006/relationships/hyperlink" Target="https://dlib.eastview.com/" TargetMode="External"/><Relationship Id="rId864" Type="http://schemas.openxmlformats.org/officeDocument/2006/relationships/hyperlink" Target="https://dlib.eastview.com/" TargetMode="External"/><Relationship Id="rId865" Type="http://schemas.openxmlformats.org/officeDocument/2006/relationships/hyperlink" Target="https://dlib.eastview.com/" TargetMode="External"/><Relationship Id="rId866" Type="http://schemas.openxmlformats.org/officeDocument/2006/relationships/hyperlink" Target="https://dlib.eastview.com/" TargetMode="External"/><Relationship Id="rId867" Type="http://schemas.openxmlformats.org/officeDocument/2006/relationships/hyperlink" Target="https://dlib.eastview.com/" TargetMode="External"/><Relationship Id="rId868" Type="http://schemas.openxmlformats.org/officeDocument/2006/relationships/hyperlink" Target="https://dlib.eastview.com/" TargetMode="External"/><Relationship Id="rId869" Type="http://schemas.openxmlformats.org/officeDocument/2006/relationships/hyperlink" Target="https://dlib.eastview.com/" TargetMode="External"/><Relationship Id="rId870" Type="http://schemas.openxmlformats.org/officeDocument/2006/relationships/hyperlink" Target="https://dlib.eastview.com/" TargetMode="External"/><Relationship Id="rId871" Type="http://schemas.openxmlformats.org/officeDocument/2006/relationships/hyperlink" Target="https://dlib.eastview.com/" TargetMode="External"/><Relationship Id="rId872" Type="http://schemas.openxmlformats.org/officeDocument/2006/relationships/hyperlink" Target="https://dlib.eastview.com/" TargetMode="External"/><Relationship Id="rId873" Type="http://schemas.openxmlformats.org/officeDocument/2006/relationships/hyperlink" Target="https://dlib.eastview.com/" TargetMode="External"/><Relationship Id="rId874" Type="http://schemas.openxmlformats.org/officeDocument/2006/relationships/hyperlink" Target="https://dlib.eastview.com/" TargetMode="External"/><Relationship Id="rId875" Type="http://schemas.openxmlformats.org/officeDocument/2006/relationships/hyperlink" Target="https://dlib.eastview.com/" TargetMode="External"/><Relationship Id="rId876" Type="http://schemas.openxmlformats.org/officeDocument/2006/relationships/hyperlink" Target="https://dlib.eastview.com/" TargetMode="External"/><Relationship Id="rId877" Type="http://schemas.openxmlformats.org/officeDocument/2006/relationships/hyperlink" Target="https://dlib.eastview.com/" TargetMode="External"/><Relationship Id="rId878" Type="http://schemas.openxmlformats.org/officeDocument/2006/relationships/hyperlink" Target="https://dlib.eastview.com/" TargetMode="External"/><Relationship Id="rId879" Type="http://schemas.openxmlformats.org/officeDocument/2006/relationships/hyperlink" Target="https://dlib.eastview.com/" TargetMode="External"/><Relationship Id="rId880" Type="http://schemas.openxmlformats.org/officeDocument/2006/relationships/hyperlink" Target="https://dlib.eastview.com/" TargetMode="External"/><Relationship Id="rId881" Type="http://schemas.openxmlformats.org/officeDocument/2006/relationships/hyperlink" Target="https://dlib.eastview.com/" TargetMode="External"/><Relationship Id="rId882" Type="http://schemas.openxmlformats.org/officeDocument/2006/relationships/hyperlink" Target="https://dlib.eastview.com/" TargetMode="External"/><Relationship Id="rId883" Type="http://schemas.openxmlformats.org/officeDocument/2006/relationships/hyperlink" Target="https://dlib.eastview.com/" TargetMode="External"/><Relationship Id="rId884" Type="http://schemas.openxmlformats.org/officeDocument/2006/relationships/hyperlink" Target="https://dlib.eastview.com/" TargetMode="External"/><Relationship Id="rId885" Type="http://schemas.openxmlformats.org/officeDocument/2006/relationships/hyperlink" Target="https://dlib.eastview.com/" TargetMode="External"/><Relationship Id="rId886" Type="http://schemas.openxmlformats.org/officeDocument/2006/relationships/hyperlink" Target="https://dlib.eastview.com/" TargetMode="External"/><Relationship Id="rId887" Type="http://schemas.openxmlformats.org/officeDocument/2006/relationships/hyperlink" Target="https://dlib.eastview.com/" TargetMode="External"/><Relationship Id="rId888" Type="http://schemas.openxmlformats.org/officeDocument/2006/relationships/hyperlink" Target="https://dlib.eastview.com/" TargetMode="External"/><Relationship Id="rId889" Type="http://schemas.openxmlformats.org/officeDocument/2006/relationships/hyperlink" Target="https://dlib.eastview.com/" TargetMode="External"/><Relationship Id="rId890" Type="http://schemas.openxmlformats.org/officeDocument/2006/relationships/hyperlink" Target="https://dlib.eastview.com/" TargetMode="External"/><Relationship Id="rId891" Type="http://schemas.openxmlformats.org/officeDocument/2006/relationships/hyperlink" Target="https://dlib.eastview.com/" TargetMode="External"/><Relationship Id="rId892" Type="http://schemas.openxmlformats.org/officeDocument/2006/relationships/hyperlink" Target="https://dlib.eastview.com/" TargetMode="External"/><Relationship Id="rId893" Type="http://schemas.openxmlformats.org/officeDocument/2006/relationships/hyperlink" Target="https://dlib.eastview.com/" TargetMode="External"/><Relationship Id="rId894" Type="http://schemas.openxmlformats.org/officeDocument/2006/relationships/hyperlink" Target="https://dlib.eastview.com/" TargetMode="External"/><Relationship Id="rId895" Type="http://schemas.openxmlformats.org/officeDocument/2006/relationships/hyperlink" Target="https://dlib.eastview.com/" TargetMode="External"/><Relationship Id="rId896" Type="http://schemas.openxmlformats.org/officeDocument/2006/relationships/hyperlink" Target="https://dlib.eastview.com/" TargetMode="External"/><Relationship Id="rId897" Type="http://schemas.openxmlformats.org/officeDocument/2006/relationships/hyperlink" Target="https://dlib.eastview.com/" TargetMode="External"/><Relationship Id="rId898" Type="http://schemas.openxmlformats.org/officeDocument/2006/relationships/hyperlink" Target="https://dlib.eastview.com/" TargetMode="External"/><Relationship Id="rId899" Type="http://schemas.openxmlformats.org/officeDocument/2006/relationships/hyperlink" Target="https://dlib.eastview.com/" TargetMode="External"/><Relationship Id="rId900" Type="http://schemas.openxmlformats.org/officeDocument/2006/relationships/hyperlink" Target="https://dlib.eastview.com/" TargetMode="External"/><Relationship Id="rId901" Type="http://schemas.openxmlformats.org/officeDocument/2006/relationships/hyperlink" Target="https://dlib.eastview.com/" TargetMode="External"/><Relationship Id="rId902" Type="http://schemas.openxmlformats.org/officeDocument/2006/relationships/hyperlink" Target="https://dlib.eastview.com/" TargetMode="External"/><Relationship Id="rId903" Type="http://schemas.openxmlformats.org/officeDocument/2006/relationships/hyperlink" Target="https://dlib.eastview.com/" TargetMode="External"/><Relationship Id="rId904" Type="http://schemas.openxmlformats.org/officeDocument/2006/relationships/hyperlink" Target="https://dlib.eastview.com/" TargetMode="External"/><Relationship Id="rId905" Type="http://schemas.openxmlformats.org/officeDocument/2006/relationships/hyperlink" Target="https://dlib.eastview.com/" TargetMode="External"/><Relationship Id="rId906" Type="http://schemas.openxmlformats.org/officeDocument/2006/relationships/hyperlink" Target="https://dlib.eastview.com/" TargetMode="External"/><Relationship Id="rId907" Type="http://schemas.openxmlformats.org/officeDocument/2006/relationships/hyperlink" Target="https://dlib.eastview.com/" TargetMode="External"/><Relationship Id="rId908" Type="http://schemas.openxmlformats.org/officeDocument/2006/relationships/hyperlink" Target="https://dlib.eastview.com/" TargetMode="External"/><Relationship Id="rId909" Type="http://schemas.openxmlformats.org/officeDocument/2006/relationships/hyperlink" Target="https://dlib.eastview.com/" TargetMode="External"/><Relationship Id="rId910" Type="http://schemas.openxmlformats.org/officeDocument/2006/relationships/hyperlink" Target="https://dlib.eastview.com/" TargetMode="External"/><Relationship Id="rId911" Type="http://schemas.openxmlformats.org/officeDocument/2006/relationships/hyperlink" Target="https://dlib.eastview.com/" TargetMode="External"/><Relationship Id="rId912" Type="http://schemas.openxmlformats.org/officeDocument/2006/relationships/hyperlink" Target="https://dlib.eastview.com/" TargetMode="External"/><Relationship Id="rId913" Type="http://schemas.openxmlformats.org/officeDocument/2006/relationships/hyperlink" Target="https://dlib.eastview.com/" TargetMode="External"/><Relationship Id="rId914" Type="http://schemas.openxmlformats.org/officeDocument/2006/relationships/hyperlink" Target="https://dlib.eastview.com/" TargetMode="External"/><Relationship Id="rId915" Type="http://schemas.openxmlformats.org/officeDocument/2006/relationships/hyperlink" Target="https://dlib.eastview.com/" TargetMode="External"/><Relationship Id="rId916" Type="http://schemas.openxmlformats.org/officeDocument/2006/relationships/hyperlink" Target="https://dlib.eastview.com/" TargetMode="External"/><Relationship Id="rId917" Type="http://schemas.openxmlformats.org/officeDocument/2006/relationships/hyperlink" Target="https://dlib.eastview.com/" TargetMode="External"/><Relationship Id="rId918" Type="http://schemas.openxmlformats.org/officeDocument/2006/relationships/hyperlink" Target="https://dlib.eastview.com/" TargetMode="External"/><Relationship Id="rId919" Type="http://schemas.openxmlformats.org/officeDocument/2006/relationships/hyperlink" Target="https://dlib.eastview.com/" TargetMode="External"/><Relationship Id="rId920" Type="http://schemas.openxmlformats.org/officeDocument/2006/relationships/hyperlink" Target="https://dlib.eastview.com/" TargetMode="External"/><Relationship Id="rId921" Type="http://schemas.openxmlformats.org/officeDocument/2006/relationships/hyperlink" Target="https://dlib.eastview.com/" TargetMode="External"/><Relationship Id="rId922" Type="http://schemas.openxmlformats.org/officeDocument/2006/relationships/hyperlink" Target="https://dlib.eastview.com/" TargetMode="External"/><Relationship Id="rId923" Type="http://schemas.openxmlformats.org/officeDocument/2006/relationships/hyperlink" Target="https://dlib.eastview.com/" TargetMode="External"/><Relationship Id="rId924" Type="http://schemas.openxmlformats.org/officeDocument/2006/relationships/hyperlink" Target="https://dlib.eastview.com/" TargetMode="External"/><Relationship Id="rId925" Type="http://schemas.openxmlformats.org/officeDocument/2006/relationships/hyperlink" Target="https://dlib.eastview.com/" TargetMode="External"/><Relationship Id="rId926" Type="http://schemas.openxmlformats.org/officeDocument/2006/relationships/hyperlink" Target="http://www.panor.ru/" TargetMode="External"/><Relationship Id="rId927" Type="http://schemas.openxmlformats.org/officeDocument/2006/relationships/hyperlink" Target="https://dlib.eastview.com/" TargetMode="External"/><Relationship Id="rId928" Type="http://schemas.openxmlformats.org/officeDocument/2006/relationships/hyperlink" Target="https://dlib.eastview.com/" TargetMode="External"/><Relationship Id="rId929" Type="http://schemas.openxmlformats.org/officeDocument/2006/relationships/hyperlink" Target="https://dlib.eastview.com/" TargetMode="External"/><Relationship Id="rId930" Type="http://schemas.openxmlformats.org/officeDocument/2006/relationships/hyperlink" Target="https://dlib.eastview.com/" TargetMode="External"/><Relationship Id="rId931" Type="http://schemas.openxmlformats.org/officeDocument/2006/relationships/hyperlink" Target="https://dlib.eastview.com/" TargetMode="External"/><Relationship Id="rId932" Type="http://schemas.openxmlformats.org/officeDocument/2006/relationships/hyperlink" Target="https://dlib.eastview.com/" TargetMode="External"/><Relationship Id="rId933" Type="http://schemas.openxmlformats.org/officeDocument/2006/relationships/hyperlink" Target="https://dlib.eastview.com/" TargetMode="External"/><Relationship Id="rId934" Type="http://schemas.openxmlformats.org/officeDocument/2006/relationships/hyperlink" Target="https://dlib.eastview.com/" TargetMode="External"/><Relationship Id="rId935" Type="http://schemas.openxmlformats.org/officeDocument/2006/relationships/hyperlink" Target="https://dlib.eastview.com/" TargetMode="External"/><Relationship Id="rId936" Type="http://schemas.openxmlformats.org/officeDocument/2006/relationships/hyperlink" Target="https://dlib.eastview.com/" TargetMode="External"/><Relationship Id="rId937" Type="http://schemas.openxmlformats.org/officeDocument/2006/relationships/hyperlink" Target="https://dlib.eastview.com/" TargetMode="External"/><Relationship Id="rId938" Type="http://schemas.openxmlformats.org/officeDocument/2006/relationships/hyperlink" Target="https://dlib.eastview.com/" TargetMode="External"/><Relationship Id="rId939" Type="http://schemas.openxmlformats.org/officeDocument/2006/relationships/hyperlink" Target="https://dlib.eastview.com/" TargetMode="External"/><Relationship Id="rId940" Type="http://schemas.openxmlformats.org/officeDocument/2006/relationships/hyperlink" Target="http://www.panor.ru/" TargetMode="External"/><Relationship Id="rId941" Type="http://schemas.openxmlformats.org/officeDocument/2006/relationships/hyperlink" Target="https://dlib.eastview.com/" TargetMode="External"/><Relationship Id="rId942" Type="http://schemas.openxmlformats.org/officeDocument/2006/relationships/hyperlink" Target="https://dlib.eastview.com/" TargetMode="External"/><Relationship Id="rId943" Type="http://schemas.openxmlformats.org/officeDocument/2006/relationships/hyperlink" Target="https://dlib.eastview.com/" TargetMode="External"/><Relationship Id="rId944" Type="http://schemas.openxmlformats.org/officeDocument/2006/relationships/hyperlink" Target="https://dlib.eastview.com/" TargetMode="External"/><Relationship Id="rId945" Type="http://schemas.openxmlformats.org/officeDocument/2006/relationships/hyperlink" Target="https://dlib.eastview.com/" TargetMode="External"/><Relationship Id="rId946" Type="http://schemas.openxmlformats.org/officeDocument/2006/relationships/hyperlink" Target="https://dlib.eastview.com/" TargetMode="External"/><Relationship Id="rId947" Type="http://schemas.openxmlformats.org/officeDocument/2006/relationships/hyperlink" Target="https://dlib.eastview.com/" TargetMode="External"/><Relationship Id="rId948" Type="http://schemas.openxmlformats.org/officeDocument/2006/relationships/hyperlink" Target="https://dlib.eastview.com/" TargetMode="External"/><Relationship Id="rId949" Type="http://schemas.openxmlformats.org/officeDocument/2006/relationships/hyperlink" Target="https://dlib.eastview.com/" TargetMode="External"/><Relationship Id="rId950" Type="http://schemas.openxmlformats.org/officeDocument/2006/relationships/hyperlink" Target="https://dlib.eastview.com/" TargetMode="External"/><Relationship Id="rId951" Type="http://schemas.openxmlformats.org/officeDocument/2006/relationships/hyperlink" Target="https://dlib.eastview.com/" TargetMode="External"/><Relationship Id="rId952" Type="http://schemas.openxmlformats.org/officeDocument/2006/relationships/hyperlink" Target="https://dlib.eastview.com/" TargetMode="External"/><Relationship Id="rId953" Type="http://schemas.openxmlformats.org/officeDocument/2006/relationships/hyperlink" Target="https://dlib.eastview.com/" TargetMode="External"/><Relationship Id="rId954" Type="http://schemas.openxmlformats.org/officeDocument/2006/relationships/hyperlink" Target="https://dlib.eastview.com/" TargetMode="External"/><Relationship Id="rId955" Type="http://schemas.openxmlformats.org/officeDocument/2006/relationships/hyperlink" Target="https://dlib.eastview.com/" TargetMode="External"/><Relationship Id="rId956" Type="http://schemas.openxmlformats.org/officeDocument/2006/relationships/hyperlink" Target="https://dlib.eastview.com/" TargetMode="External"/><Relationship Id="rId957" Type="http://schemas.openxmlformats.org/officeDocument/2006/relationships/hyperlink" Target="https://dlib.eastview.com/" TargetMode="External"/><Relationship Id="rId958" Type="http://schemas.openxmlformats.org/officeDocument/2006/relationships/hyperlink" Target="https://dlib.eastview.com/" TargetMode="External"/><Relationship Id="rId959" Type="http://schemas.openxmlformats.org/officeDocument/2006/relationships/hyperlink" Target="https://dlib.eastview.com/" TargetMode="External"/><Relationship Id="rId960" Type="http://schemas.openxmlformats.org/officeDocument/2006/relationships/hyperlink" Target="https://dlib.eastview.com/" TargetMode="External"/><Relationship Id="rId961" Type="http://schemas.openxmlformats.org/officeDocument/2006/relationships/hyperlink" Target="https://dlib.eastview.com/" TargetMode="External"/><Relationship Id="rId962" Type="http://schemas.openxmlformats.org/officeDocument/2006/relationships/hyperlink" Target="https://dlib.eastview.com/" TargetMode="External"/><Relationship Id="rId963" Type="http://schemas.openxmlformats.org/officeDocument/2006/relationships/hyperlink" Target="https://dlib.eastview.com/" TargetMode="External"/><Relationship Id="rId964" Type="http://schemas.openxmlformats.org/officeDocument/2006/relationships/hyperlink" Target="https://dlib.eastview.com/" TargetMode="External"/><Relationship Id="rId965" Type="http://schemas.openxmlformats.org/officeDocument/2006/relationships/hyperlink" Target="https://dlib.eastview.com/" TargetMode="External"/><Relationship Id="rId966" Type="http://schemas.openxmlformats.org/officeDocument/2006/relationships/hyperlink" Target="https://dlib.eastview.com/" TargetMode="External"/><Relationship Id="rId967" Type="http://schemas.openxmlformats.org/officeDocument/2006/relationships/hyperlink" Target="https://dlib.eastview.com/" TargetMode="External"/><Relationship Id="rId968" Type="http://schemas.openxmlformats.org/officeDocument/2006/relationships/hyperlink" Target="https://dlib.eastview.com/" TargetMode="External"/><Relationship Id="rId969" Type="http://schemas.openxmlformats.org/officeDocument/2006/relationships/hyperlink" Target="https://dlib.eastview.com/" TargetMode="External"/><Relationship Id="rId970" Type="http://schemas.openxmlformats.org/officeDocument/2006/relationships/hyperlink" Target="https://dlib.eastview.com/" TargetMode="External"/><Relationship Id="rId971" Type="http://schemas.openxmlformats.org/officeDocument/2006/relationships/hyperlink" Target="https://dlib.eastview.com/" TargetMode="External"/><Relationship Id="rId972" Type="http://schemas.openxmlformats.org/officeDocument/2006/relationships/hyperlink" Target="https://dlib.eastview.com/" TargetMode="External"/><Relationship Id="rId973" Type="http://schemas.openxmlformats.org/officeDocument/2006/relationships/hyperlink" Target="https://dlib.eastview.com/" TargetMode="External"/><Relationship Id="rId974" Type="http://schemas.openxmlformats.org/officeDocument/2006/relationships/hyperlink" Target="https://dlib.eastview.com/" TargetMode="External"/><Relationship Id="rId975" Type="http://schemas.openxmlformats.org/officeDocument/2006/relationships/hyperlink" Target="https://dlib.eastview.com/" TargetMode="External"/><Relationship Id="rId976" Type="http://schemas.openxmlformats.org/officeDocument/2006/relationships/hyperlink" Target="https://dlib.eastview.com/" TargetMode="External"/><Relationship Id="rId977" Type="http://schemas.openxmlformats.org/officeDocument/2006/relationships/hyperlink" Target="https://dlib.eastview.com/" TargetMode="External"/><Relationship Id="rId978" Type="http://schemas.openxmlformats.org/officeDocument/2006/relationships/hyperlink" Target="https://dlib.eastview.com/" TargetMode="External"/><Relationship Id="rId979" Type="http://schemas.openxmlformats.org/officeDocument/2006/relationships/hyperlink" Target="https://dlib.eastview.com/" TargetMode="External"/><Relationship Id="rId980" Type="http://schemas.openxmlformats.org/officeDocument/2006/relationships/hyperlink" Target="https://dlib.eastview.com/" TargetMode="External"/><Relationship Id="rId981" Type="http://schemas.openxmlformats.org/officeDocument/2006/relationships/hyperlink" Target="https://dlib.eastview.com/" TargetMode="External"/><Relationship Id="rId982" Type="http://schemas.openxmlformats.org/officeDocument/2006/relationships/hyperlink" Target="https://dlib.eastview.com/" TargetMode="External"/><Relationship Id="rId983" Type="http://schemas.openxmlformats.org/officeDocument/2006/relationships/hyperlink" Target="https://dlib.eastview.com/" TargetMode="External"/><Relationship Id="rId984" Type="http://schemas.openxmlformats.org/officeDocument/2006/relationships/hyperlink" Target="https://dlib.eastview.com/" TargetMode="External"/><Relationship Id="rId985" Type="http://schemas.openxmlformats.org/officeDocument/2006/relationships/hyperlink" Target="https://dlib.eastview.com/" TargetMode="External"/><Relationship Id="rId986" Type="http://schemas.openxmlformats.org/officeDocument/2006/relationships/hyperlink" Target="https://dlib.eastview.com/" TargetMode="External"/><Relationship Id="rId987" Type="http://schemas.openxmlformats.org/officeDocument/2006/relationships/hyperlink" Target="https://dlib.eastview.com/" TargetMode="External"/><Relationship Id="rId988" Type="http://schemas.openxmlformats.org/officeDocument/2006/relationships/hyperlink" Target="https://dlib.eastview.com/" TargetMode="External"/><Relationship Id="rId989" Type="http://schemas.openxmlformats.org/officeDocument/2006/relationships/hyperlink" Target="https://dlib.eastview.com/" TargetMode="External"/><Relationship Id="rId990" Type="http://schemas.openxmlformats.org/officeDocument/2006/relationships/hyperlink" Target="https://dlib.eastview.com/" TargetMode="External"/><Relationship Id="rId991" Type="http://schemas.openxmlformats.org/officeDocument/2006/relationships/hyperlink" Target="https://dlib.eastview.com/" TargetMode="External"/><Relationship Id="rId992" Type="http://schemas.openxmlformats.org/officeDocument/2006/relationships/hyperlink" Target="https://dlib.eastview.com/" TargetMode="External"/><Relationship Id="rId993" Type="http://schemas.openxmlformats.org/officeDocument/2006/relationships/hyperlink" Target="https://dlib.eastview.com/" TargetMode="External"/><Relationship Id="rId994" Type="http://schemas.openxmlformats.org/officeDocument/2006/relationships/hyperlink" Target="https://dlib.eastview.com/" TargetMode="External"/><Relationship Id="rId995" Type="http://schemas.openxmlformats.org/officeDocument/2006/relationships/hyperlink" Target="https://dlib.eastview.com/" TargetMode="External"/><Relationship Id="rId996" Type="http://schemas.openxmlformats.org/officeDocument/2006/relationships/hyperlink" Target="https://dlib.eastview.com/" TargetMode="External"/><Relationship Id="rId997" Type="http://schemas.openxmlformats.org/officeDocument/2006/relationships/hyperlink" Target="https://dlib.eastview.com/" TargetMode="External"/><Relationship Id="rId998" Type="http://schemas.openxmlformats.org/officeDocument/2006/relationships/hyperlink" Target="https://dlib.eastview.com/" TargetMode="External"/><Relationship Id="rId999" Type="http://schemas.openxmlformats.org/officeDocument/2006/relationships/hyperlink" Target="https://dlib.eastview.com/" TargetMode="External"/><Relationship Id="rId1000" Type="http://schemas.openxmlformats.org/officeDocument/2006/relationships/hyperlink" Target="https://dlib.eastview.com/" TargetMode="External"/><Relationship Id="rId1001" Type="http://schemas.openxmlformats.org/officeDocument/2006/relationships/hyperlink" Target="https://dlib.eastview.com/" TargetMode="External"/><Relationship Id="rId1002" Type="http://schemas.openxmlformats.org/officeDocument/2006/relationships/hyperlink" Target="https://dlib.eastview.com/" TargetMode="External"/><Relationship Id="rId1003" Type="http://schemas.openxmlformats.org/officeDocument/2006/relationships/hyperlink" Target="https://dlib.eastview.com/" TargetMode="External"/><Relationship Id="rId1004" Type="http://schemas.openxmlformats.org/officeDocument/2006/relationships/hyperlink" Target="https://dlib.eastview.com/" TargetMode="External"/><Relationship Id="rId1005" Type="http://schemas.openxmlformats.org/officeDocument/2006/relationships/hyperlink" Target="https://dlib.eastview.com/" TargetMode="External"/><Relationship Id="rId1006" Type="http://schemas.openxmlformats.org/officeDocument/2006/relationships/hyperlink" Target="https://dlib.eastview.com/" TargetMode="External"/><Relationship Id="rId1007" Type="http://schemas.openxmlformats.org/officeDocument/2006/relationships/hyperlink" Target="https://dlib.eastview.com/" TargetMode="External"/><Relationship Id="rId1008" Type="http://schemas.openxmlformats.org/officeDocument/2006/relationships/hyperlink" Target="https://dlib.eastview.com/" TargetMode="External"/><Relationship Id="rId1009" Type="http://schemas.openxmlformats.org/officeDocument/2006/relationships/hyperlink" Target="https://dlib.eastview.com/" TargetMode="External"/><Relationship Id="rId1010" Type="http://schemas.openxmlformats.org/officeDocument/2006/relationships/hyperlink" Target="https://dlib.eastview.com/" TargetMode="External"/><Relationship Id="rId1011" Type="http://schemas.openxmlformats.org/officeDocument/2006/relationships/hyperlink" Target="https://dlib.eastview.com/" TargetMode="External"/><Relationship Id="rId1012" Type="http://schemas.openxmlformats.org/officeDocument/2006/relationships/hyperlink" Target="https://dlib.eastview.com/" TargetMode="External"/><Relationship Id="rId1013" Type="http://schemas.openxmlformats.org/officeDocument/2006/relationships/hyperlink" Target="https://dlib.eastview.com/" TargetMode="External"/><Relationship Id="rId1014" Type="http://schemas.openxmlformats.org/officeDocument/2006/relationships/hyperlink" Target="https://dlib.eastview.com/" TargetMode="External"/><Relationship Id="rId1015" Type="http://schemas.openxmlformats.org/officeDocument/2006/relationships/hyperlink" Target="https://dlib.eastview.com/" TargetMode="External"/><Relationship Id="rId1016" Type="http://schemas.openxmlformats.org/officeDocument/2006/relationships/hyperlink" Target="https://dlib.eastview.com/" TargetMode="External"/><Relationship Id="rId1017" Type="http://schemas.openxmlformats.org/officeDocument/2006/relationships/hyperlink" Target="https://dlib.eastview.com/" TargetMode="External"/><Relationship Id="rId1018" Type="http://schemas.openxmlformats.org/officeDocument/2006/relationships/hyperlink" Target="https://dlib.eastview.com/" TargetMode="External"/><Relationship Id="rId1019" Type="http://schemas.openxmlformats.org/officeDocument/2006/relationships/hyperlink" Target="https://dlib.eastview.com/" TargetMode="External"/><Relationship Id="rId1020" Type="http://schemas.openxmlformats.org/officeDocument/2006/relationships/hyperlink" Target="https://dlib.eastview.com/" TargetMode="External"/><Relationship Id="rId1021" Type="http://schemas.openxmlformats.org/officeDocument/2006/relationships/hyperlink" Target="https://dlib.eastview.com/" TargetMode="External"/><Relationship Id="rId1022" Type="http://schemas.openxmlformats.org/officeDocument/2006/relationships/hyperlink" Target="https://dlib.eastview.com/" TargetMode="External"/><Relationship Id="rId1023" Type="http://schemas.openxmlformats.org/officeDocument/2006/relationships/hyperlink" Target="https://dlib.eastview.com/" TargetMode="External"/><Relationship Id="rId1024" Type="http://schemas.openxmlformats.org/officeDocument/2006/relationships/hyperlink" Target="https://dlib.eastview.com/" TargetMode="External"/><Relationship Id="rId1025" Type="http://schemas.openxmlformats.org/officeDocument/2006/relationships/hyperlink" Target="https://dlib.eastview.com/" TargetMode="External"/><Relationship Id="rId1026" Type="http://schemas.openxmlformats.org/officeDocument/2006/relationships/hyperlink" Target="https://dlib.eastview.com/" TargetMode="External"/><Relationship Id="rId1027" Type="http://schemas.openxmlformats.org/officeDocument/2006/relationships/hyperlink" Target="https://dlib.eastview.com/" TargetMode="External"/><Relationship Id="rId1028" Type="http://schemas.openxmlformats.org/officeDocument/2006/relationships/hyperlink" Target="https://dlib.eastview.com/" TargetMode="External"/><Relationship Id="rId1029" Type="http://schemas.openxmlformats.org/officeDocument/2006/relationships/hyperlink" Target="https://dlib.eastview.com/" TargetMode="External"/><Relationship Id="rId1030" Type="http://schemas.openxmlformats.org/officeDocument/2006/relationships/hyperlink" Target="https://dlib.eastview.com/" TargetMode="External"/><Relationship Id="rId1031" Type="http://schemas.openxmlformats.org/officeDocument/2006/relationships/hyperlink" Target="https://dlib.eastview.com/" TargetMode="External"/><Relationship Id="rId1032" Type="http://schemas.openxmlformats.org/officeDocument/2006/relationships/hyperlink" Target="https://dlib.eastview.com/" TargetMode="External"/><Relationship Id="rId1033" Type="http://schemas.openxmlformats.org/officeDocument/2006/relationships/hyperlink" Target="https://dlib.eastview.com/" TargetMode="External"/><Relationship Id="rId1034" Type="http://schemas.openxmlformats.org/officeDocument/2006/relationships/hyperlink" Target="https://dlib.eastview.com/" TargetMode="External"/><Relationship Id="rId1035" Type="http://schemas.openxmlformats.org/officeDocument/2006/relationships/hyperlink" Target="https://dlib.eastview.com/" TargetMode="External"/><Relationship Id="rId1036" Type="http://schemas.openxmlformats.org/officeDocument/2006/relationships/hyperlink" Target="https://dlib.eastview.com/" TargetMode="External"/><Relationship Id="rId1037" Type="http://schemas.openxmlformats.org/officeDocument/2006/relationships/hyperlink" Target="https://dlib.eastview.com/" TargetMode="External"/><Relationship Id="rId1038" Type="http://schemas.openxmlformats.org/officeDocument/2006/relationships/hyperlink" Target="https://dlib.eastview.com/" TargetMode="External"/><Relationship Id="rId1039" Type="http://schemas.openxmlformats.org/officeDocument/2006/relationships/hyperlink" Target="https://dlib.eastview.com/" TargetMode="External"/><Relationship Id="rId1040" Type="http://schemas.openxmlformats.org/officeDocument/2006/relationships/hyperlink" Target="https://dlib.eastview.com/" TargetMode="External"/><Relationship Id="rId1041" Type="http://schemas.openxmlformats.org/officeDocument/2006/relationships/hyperlink" Target="https://dlib.eastview.com/" TargetMode="External"/><Relationship Id="rId1042" Type="http://schemas.openxmlformats.org/officeDocument/2006/relationships/hyperlink" Target="https://dlib.eastview.com/" TargetMode="External"/><Relationship Id="rId1043" Type="http://schemas.openxmlformats.org/officeDocument/2006/relationships/hyperlink" Target="https://dlib.eastview.com/" TargetMode="External"/><Relationship Id="rId1044" Type="http://schemas.openxmlformats.org/officeDocument/2006/relationships/hyperlink" Target="https://dlib.eastview.com/" TargetMode="External"/><Relationship Id="rId1045" Type="http://schemas.openxmlformats.org/officeDocument/2006/relationships/hyperlink" Target="https://dlib.eastview.com/" TargetMode="External"/><Relationship Id="rId1046" Type="http://schemas.openxmlformats.org/officeDocument/2006/relationships/hyperlink" Target="https://dlib.eastview.com/" TargetMode="External"/><Relationship Id="rId1047" Type="http://schemas.openxmlformats.org/officeDocument/2006/relationships/hyperlink" Target="https://dlib.eastview.com/" TargetMode="External"/><Relationship Id="rId1048" Type="http://schemas.openxmlformats.org/officeDocument/2006/relationships/hyperlink" Target="https://dlib.eastview.com/" TargetMode="External"/><Relationship Id="rId1049" Type="http://schemas.openxmlformats.org/officeDocument/2006/relationships/hyperlink" Target="https://dlib.eastview.com/" TargetMode="External"/><Relationship Id="rId1050" Type="http://schemas.openxmlformats.org/officeDocument/2006/relationships/hyperlink" Target="https://dlib.eastview.com/" TargetMode="External"/><Relationship Id="rId1051" Type="http://schemas.openxmlformats.org/officeDocument/2006/relationships/hyperlink" Target="https://dlib.eastview.com/" TargetMode="External"/><Relationship Id="rId1052" Type="http://schemas.openxmlformats.org/officeDocument/2006/relationships/hyperlink" Target="https://dlib.eastview.com/" TargetMode="External"/><Relationship Id="rId1053" Type="http://schemas.openxmlformats.org/officeDocument/2006/relationships/hyperlink" Target="https://dlib.eastview.com/" TargetMode="External"/><Relationship Id="rId1054" Type="http://schemas.openxmlformats.org/officeDocument/2006/relationships/hyperlink" Target="http://www.panor.ru/" TargetMode="External"/><Relationship Id="rId1055" Type="http://schemas.openxmlformats.org/officeDocument/2006/relationships/hyperlink" Target="https://dlib.eastview.com/" TargetMode="External"/><Relationship Id="rId1056" Type="http://schemas.openxmlformats.org/officeDocument/2006/relationships/hyperlink" Target="https://dlib.eastview.com/" TargetMode="External"/><Relationship Id="rId1057" Type="http://schemas.openxmlformats.org/officeDocument/2006/relationships/hyperlink" Target="https://dlib.eastview.com/" TargetMode="External"/><Relationship Id="rId1058" Type="http://schemas.openxmlformats.org/officeDocument/2006/relationships/hyperlink" Target="https://dlib.eastview.com/" TargetMode="External"/><Relationship Id="rId1059" Type="http://schemas.openxmlformats.org/officeDocument/2006/relationships/hyperlink" Target="https://dlib.eastview.com/" TargetMode="External"/><Relationship Id="rId1060" Type="http://schemas.openxmlformats.org/officeDocument/2006/relationships/hyperlink" Target="https://dlib.eastview.com/" TargetMode="External"/><Relationship Id="rId1061" Type="http://schemas.openxmlformats.org/officeDocument/2006/relationships/hyperlink" Target="https://dlib.eastview.com/" TargetMode="External"/><Relationship Id="rId1062" Type="http://schemas.openxmlformats.org/officeDocument/2006/relationships/hyperlink" Target="https://dlib.eastview.com/" TargetMode="External"/><Relationship Id="rId1063" Type="http://schemas.openxmlformats.org/officeDocument/2006/relationships/hyperlink" Target="https://dlib.eastview.com/" TargetMode="External"/><Relationship Id="rId1064" Type="http://schemas.openxmlformats.org/officeDocument/2006/relationships/hyperlink" Target="https://dlib.eastview.com/" TargetMode="External"/><Relationship Id="rId1065" Type="http://schemas.openxmlformats.org/officeDocument/2006/relationships/hyperlink" Target="https://dlib.eastview.com/" TargetMode="External"/><Relationship Id="rId1066" Type="http://schemas.openxmlformats.org/officeDocument/2006/relationships/hyperlink" Target="https://dlib.eastview.com/" TargetMode="External"/><Relationship Id="rId1067" Type="http://schemas.openxmlformats.org/officeDocument/2006/relationships/hyperlink" Target="https://dlib.eastview.com/" TargetMode="External"/><Relationship Id="rId1068" Type="http://schemas.openxmlformats.org/officeDocument/2006/relationships/hyperlink" Target="https://dlib.eastview.com/" TargetMode="External"/><Relationship Id="rId1069" Type="http://schemas.openxmlformats.org/officeDocument/2006/relationships/hyperlink" Target="https://dlib.eastview.com/" TargetMode="External"/><Relationship Id="rId1070" Type="http://schemas.openxmlformats.org/officeDocument/2006/relationships/hyperlink" Target="https://dlib.eastview.com/" TargetMode="External"/><Relationship Id="rId1071" Type="http://schemas.openxmlformats.org/officeDocument/2006/relationships/hyperlink" Target="https://dlib.eastview.com/" TargetMode="External"/><Relationship Id="rId1072" Type="http://schemas.openxmlformats.org/officeDocument/2006/relationships/hyperlink" Target="https://dlib.eastview.com/" TargetMode="External"/><Relationship Id="rId1073" Type="http://schemas.openxmlformats.org/officeDocument/2006/relationships/hyperlink" Target="https://dlib.eastview.com/" TargetMode="External"/><Relationship Id="rId1074" Type="http://schemas.openxmlformats.org/officeDocument/2006/relationships/hyperlink" Target="https://dlib.eastview.com/" TargetMode="External"/><Relationship Id="rId1075" Type="http://schemas.openxmlformats.org/officeDocument/2006/relationships/hyperlink" Target="https://dlib.eastview.com/" TargetMode="External"/><Relationship Id="rId1076" Type="http://schemas.openxmlformats.org/officeDocument/2006/relationships/hyperlink" Target="https://dlib.eastview.com/" TargetMode="External"/><Relationship Id="rId1077" Type="http://schemas.openxmlformats.org/officeDocument/2006/relationships/hyperlink" Target="https://dlib.eastview.com/" TargetMode="External"/><Relationship Id="rId1078" Type="http://schemas.openxmlformats.org/officeDocument/2006/relationships/hyperlink" Target="https://dlib.eastview.com/" TargetMode="External"/><Relationship Id="rId1079" Type="http://schemas.openxmlformats.org/officeDocument/2006/relationships/hyperlink" Target="https://dlib.eastview.com/" TargetMode="External"/><Relationship Id="rId1080" Type="http://schemas.openxmlformats.org/officeDocument/2006/relationships/hyperlink" Target="https://dlib.eastview.com/" TargetMode="External"/><Relationship Id="rId1081" Type="http://schemas.openxmlformats.org/officeDocument/2006/relationships/hyperlink" Target="https://dlib.eastview.com/" TargetMode="External"/><Relationship Id="rId1082" Type="http://schemas.openxmlformats.org/officeDocument/2006/relationships/hyperlink" Target="https://dlib.eastview.com/" TargetMode="External"/><Relationship Id="rId1083" Type="http://schemas.openxmlformats.org/officeDocument/2006/relationships/hyperlink" Target="https://dlib.eastview.com/" TargetMode="External"/><Relationship Id="rId1084" Type="http://schemas.openxmlformats.org/officeDocument/2006/relationships/hyperlink" Target="https://dlib.eastview.com/" TargetMode="External"/><Relationship Id="rId1085" Type="http://schemas.openxmlformats.org/officeDocument/2006/relationships/hyperlink" Target="https://dlib.eastview.com/" TargetMode="External"/><Relationship Id="rId1086" Type="http://schemas.openxmlformats.org/officeDocument/2006/relationships/hyperlink" Target="https://dlib.eastview.com/" TargetMode="External"/><Relationship Id="rId1087" Type="http://schemas.openxmlformats.org/officeDocument/2006/relationships/hyperlink" Target="https://dlib.eastview.com/" TargetMode="External"/><Relationship Id="rId1088" Type="http://schemas.openxmlformats.org/officeDocument/2006/relationships/hyperlink" Target="https://dlib.eastview.com/" TargetMode="External"/><Relationship Id="rId1089" Type="http://schemas.openxmlformats.org/officeDocument/2006/relationships/hyperlink" Target="https://dlib.eastview.com/" TargetMode="External"/><Relationship Id="rId1090" Type="http://schemas.openxmlformats.org/officeDocument/2006/relationships/hyperlink" Target="https://dlib.eastview.com/" TargetMode="External"/><Relationship Id="rId1091" Type="http://schemas.openxmlformats.org/officeDocument/2006/relationships/hyperlink" Target="https://dlib.eastview.com/" TargetMode="External"/><Relationship Id="rId1092" Type="http://schemas.openxmlformats.org/officeDocument/2006/relationships/hyperlink" Target="https://dlib.eastview.com/" TargetMode="External"/><Relationship Id="rId1093" Type="http://schemas.openxmlformats.org/officeDocument/2006/relationships/hyperlink" Target="https://dlib.eastview.com/" TargetMode="External"/><Relationship Id="rId1094" Type="http://schemas.openxmlformats.org/officeDocument/2006/relationships/hyperlink" Target="https://dlib.eastview.com/" TargetMode="External"/><Relationship Id="rId1095" Type="http://schemas.openxmlformats.org/officeDocument/2006/relationships/hyperlink" Target="https://dlib.eastview.com/" TargetMode="External"/><Relationship Id="rId1096" Type="http://schemas.openxmlformats.org/officeDocument/2006/relationships/hyperlink" Target="https://dlib.eastview.com/" TargetMode="External"/><Relationship Id="rId1097" Type="http://schemas.openxmlformats.org/officeDocument/2006/relationships/hyperlink" Target="https://dlib.eastview.com/" TargetMode="External"/><Relationship Id="rId1098" Type="http://schemas.openxmlformats.org/officeDocument/2006/relationships/hyperlink" Target="https://dlib.eastview.com/" TargetMode="External"/><Relationship Id="rId1099" Type="http://schemas.openxmlformats.org/officeDocument/2006/relationships/hyperlink" Target="https://dlib.eastview.com/" TargetMode="External"/><Relationship Id="rId1100" Type="http://schemas.openxmlformats.org/officeDocument/2006/relationships/hyperlink" Target="https://dlib.eastview.com/" TargetMode="External"/><Relationship Id="rId1101" Type="http://schemas.openxmlformats.org/officeDocument/2006/relationships/hyperlink" Target="https://dlib.eastview.com/" TargetMode="External"/><Relationship Id="rId1102" Type="http://schemas.openxmlformats.org/officeDocument/2006/relationships/hyperlink" Target="https://dlib.eastview.com/" TargetMode="External"/><Relationship Id="rId1103" Type="http://schemas.openxmlformats.org/officeDocument/2006/relationships/hyperlink" Target="https://dlib.eastview.com/" TargetMode="External"/><Relationship Id="rId1104" Type="http://schemas.openxmlformats.org/officeDocument/2006/relationships/hyperlink" Target="https://dlib.eastview.com/" TargetMode="External"/><Relationship Id="rId1105" Type="http://schemas.openxmlformats.org/officeDocument/2006/relationships/hyperlink" Target="https://dlib.eastview.com/" TargetMode="External"/><Relationship Id="rId1106" Type="http://schemas.openxmlformats.org/officeDocument/2006/relationships/hyperlink" Target="https://dlib.eastview.com/" TargetMode="External"/><Relationship Id="rId1107" Type="http://schemas.openxmlformats.org/officeDocument/2006/relationships/hyperlink" Target="https://dlib.eastview.com/" TargetMode="External"/><Relationship Id="rId1108" Type="http://schemas.openxmlformats.org/officeDocument/2006/relationships/hyperlink" Target="https://dlib.eastview.com/" TargetMode="External"/><Relationship Id="rId1109" Type="http://schemas.openxmlformats.org/officeDocument/2006/relationships/hyperlink" Target="https://dlib.eastview.com/" TargetMode="External"/><Relationship Id="rId1110" Type="http://schemas.openxmlformats.org/officeDocument/2006/relationships/hyperlink" Target="https://dlib.eastview.com/" TargetMode="External"/><Relationship Id="rId1111" Type="http://schemas.openxmlformats.org/officeDocument/2006/relationships/hyperlink" Target="https://dlib.eastview.com/" TargetMode="External"/><Relationship Id="rId1112" Type="http://schemas.openxmlformats.org/officeDocument/2006/relationships/hyperlink" Target="https://dlib.eastview.com/" TargetMode="External"/><Relationship Id="rId1113" Type="http://schemas.openxmlformats.org/officeDocument/2006/relationships/hyperlink" Target="https://dlib.eastview.com/" TargetMode="External"/><Relationship Id="rId1114" Type="http://schemas.openxmlformats.org/officeDocument/2006/relationships/hyperlink" Target="https://dlib.eastview.com/" TargetMode="External"/><Relationship Id="rId1115" Type="http://schemas.openxmlformats.org/officeDocument/2006/relationships/hyperlink" Target="https://dlib.eastview.com/" TargetMode="External"/><Relationship Id="rId1116" Type="http://schemas.openxmlformats.org/officeDocument/2006/relationships/hyperlink" Target="https://dlib.eastview.com/" TargetMode="External"/><Relationship Id="rId1117" Type="http://schemas.openxmlformats.org/officeDocument/2006/relationships/hyperlink" Target="https://dlib.eastview.com/" TargetMode="External"/><Relationship Id="rId1118" Type="http://schemas.openxmlformats.org/officeDocument/2006/relationships/hyperlink" Target="https://dlib.eastview.com/" TargetMode="External"/><Relationship Id="rId1119" Type="http://schemas.openxmlformats.org/officeDocument/2006/relationships/hyperlink" Target="https://dlib.eastview.com/" TargetMode="External"/><Relationship Id="rId1120" Type="http://schemas.openxmlformats.org/officeDocument/2006/relationships/hyperlink" Target="https://dlib.eastview.com/" TargetMode="External"/><Relationship Id="rId1121" Type="http://schemas.openxmlformats.org/officeDocument/2006/relationships/hyperlink" Target="https://dlib.eastview.com/" TargetMode="External"/><Relationship Id="rId1122" Type="http://schemas.openxmlformats.org/officeDocument/2006/relationships/hyperlink" Target="https://dlib.eastview.com/" TargetMode="External"/><Relationship Id="rId1123" Type="http://schemas.openxmlformats.org/officeDocument/2006/relationships/hyperlink" Target="https://dlib.eastview.com/" TargetMode="External"/><Relationship Id="rId1124" Type="http://schemas.openxmlformats.org/officeDocument/2006/relationships/hyperlink" Target="https://dlib.eastview.com/" TargetMode="External"/><Relationship Id="rId1125" Type="http://schemas.openxmlformats.org/officeDocument/2006/relationships/hyperlink" Target="https://dlib.eastview.com/" TargetMode="External"/><Relationship Id="rId1126" Type="http://schemas.openxmlformats.org/officeDocument/2006/relationships/hyperlink" Target="https://dlib.eastview.com/" TargetMode="External"/><Relationship Id="rId1127" Type="http://schemas.openxmlformats.org/officeDocument/2006/relationships/hyperlink" Target="https://dlib.eastview.com/" TargetMode="External"/><Relationship Id="rId1128" Type="http://schemas.openxmlformats.org/officeDocument/2006/relationships/hyperlink" Target="https://dlib.eastview.com/" TargetMode="External"/><Relationship Id="rId1129" Type="http://schemas.openxmlformats.org/officeDocument/2006/relationships/hyperlink" Target="https://dlib.eastview.com/" TargetMode="External"/><Relationship Id="rId1130" Type="http://schemas.openxmlformats.org/officeDocument/2006/relationships/hyperlink" Target="https://dlib.eastview.com/" TargetMode="External"/><Relationship Id="rId1131" Type="http://schemas.openxmlformats.org/officeDocument/2006/relationships/hyperlink" Target="https://dlib.eastview.com/" TargetMode="External"/><Relationship Id="rId1132" Type="http://schemas.openxmlformats.org/officeDocument/2006/relationships/hyperlink" Target="https://dlib.eastview.com/" TargetMode="External"/><Relationship Id="rId1133" Type="http://schemas.openxmlformats.org/officeDocument/2006/relationships/hyperlink" Target="https://dlib.eastview.com/" TargetMode="External"/><Relationship Id="rId1134" Type="http://schemas.openxmlformats.org/officeDocument/2006/relationships/hyperlink" Target="https://dlib.eastview.com/" TargetMode="External"/><Relationship Id="rId1135" Type="http://schemas.openxmlformats.org/officeDocument/2006/relationships/hyperlink" Target="https://dlib.eastview.com/" TargetMode="External"/><Relationship Id="rId1136" Type="http://schemas.openxmlformats.org/officeDocument/2006/relationships/hyperlink" Target="https://dlib.eastview.com/" TargetMode="External"/><Relationship Id="rId1137" Type="http://schemas.openxmlformats.org/officeDocument/2006/relationships/hyperlink" Target="https://dlib.eastview.com/" TargetMode="External"/><Relationship Id="rId1138" Type="http://schemas.openxmlformats.org/officeDocument/2006/relationships/hyperlink" Target="https://dlib.eastview.com/" TargetMode="External"/><Relationship Id="rId1139" Type="http://schemas.openxmlformats.org/officeDocument/2006/relationships/hyperlink" Target="https://dlib.eastview.com/" TargetMode="External"/><Relationship Id="rId1140" Type="http://schemas.openxmlformats.org/officeDocument/2006/relationships/hyperlink" Target="https://dlib.eastview.com/" TargetMode="External"/><Relationship Id="rId1141" Type="http://schemas.openxmlformats.org/officeDocument/2006/relationships/hyperlink" Target="https://dlib.eastview.com/" TargetMode="External"/><Relationship Id="rId1142" Type="http://schemas.openxmlformats.org/officeDocument/2006/relationships/hyperlink" Target="https://dlib.eastview.com/" TargetMode="External"/><Relationship Id="rId1143" Type="http://schemas.openxmlformats.org/officeDocument/2006/relationships/hyperlink" Target="https://dlib.eastview.com/" TargetMode="External"/><Relationship Id="rId1144" Type="http://schemas.openxmlformats.org/officeDocument/2006/relationships/hyperlink" Target="https://dlib.eastview.com/" TargetMode="External"/><Relationship Id="rId1145" Type="http://schemas.openxmlformats.org/officeDocument/2006/relationships/hyperlink" Target="https://dlib.eastview.com/" TargetMode="External"/><Relationship Id="rId1146" Type="http://schemas.openxmlformats.org/officeDocument/2006/relationships/hyperlink" Target="https://dlib.eastview.com/" TargetMode="External"/><Relationship Id="rId1147" Type="http://schemas.openxmlformats.org/officeDocument/2006/relationships/hyperlink" Target="https://dlib.eastview.com/" TargetMode="External"/><Relationship Id="rId1148" Type="http://schemas.openxmlformats.org/officeDocument/2006/relationships/hyperlink" Target="https://dlib.eastview.com/" TargetMode="External"/><Relationship Id="rId1149" Type="http://schemas.openxmlformats.org/officeDocument/2006/relationships/hyperlink" Target="https://dlib.eastview.com/" TargetMode="External"/><Relationship Id="rId1150" Type="http://schemas.openxmlformats.org/officeDocument/2006/relationships/hyperlink" Target="https://dlib.eastview.com/" TargetMode="External"/><Relationship Id="rId1151" Type="http://schemas.openxmlformats.org/officeDocument/2006/relationships/hyperlink" Target="https://dlib.eastview.com/" TargetMode="External"/><Relationship Id="rId1152" Type="http://schemas.openxmlformats.org/officeDocument/2006/relationships/hyperlink" Target="https://dlib.eastview.com/" TargetMode="External"/><Relationship Id="rId1153" Type="http://schemas.openxmlformats.org/officeDocument/2006/relationships/hyperlink" Target="https://dlib.eastview.com/" TargetMode="External"/><Relationship Id="rId1154" Type="http://schemas.openxmlformats.org/officeDocument/2006/relationships/hyperlink" Target="https://dlib.eastview.com/" TargetMode="External"/><Relationship Id="rId1155" Type="http://schemas.openxmlformats.org/officeDocument/2006/relationships/hyperlink" Target="https://dlib.eastview.com/" TargetMode="External"/><Relationship Id="rId1156" Type="http://schemas.openxmlformats.org/officeDocument/2006/relationships/hyperlink" Target="https://dlib.eastview.com/" TargetMode="External"/><Relationship Id="rId1157" Type="http://schemas.openxmlformats.org/officeDocument/2006/relationships/hyperlink" Target="https://dlib.eastview.com/" TargetMode="External"/><Relationship Id="rId1158" Type="http://schemas.openxmlformats.org/officeDocument/2006/relationships/hyperlink" Target="https://dlib.eastview.com/" TargetMode="External"/><Relationship Id="rId1159" Type="http://schemas.openxmlformats.org/officeDocument/2006/relationships/hyperlink" Target="https://dlib.eastview.com/" TargetMode="External"/><Relationship Id="rId1160" Type="http://schemas.openxmlformats.org/officeDocument/2006/relationships/hyperlink" Target="https://dlib.eastview.com/" TargetMode="External"/><Relationship Id="rId1161" Type="http://schemas.openxmlformats.org/officeDocument/2006/relationships/hyperlink" Target="https://dlib.eastview.com/" TargetMode="External"/><Relationship Id="rId1162" Type="http://schemas.openxmlformats.org/officeDocument/2006/relationships/hyperlink" Target="https://dlib.eastview.com/" TargetMode="External"/><Relationship Id="rId1163" Type="http://schemas.openxmlformats.org/officeDocument/2006/relationships/hyperlink" Target="https://dlib.eastview.com/" TargetMode="External"/><Relationship Id="rId1164" Type="http://schemas.openxmlformats.org/officeDocument/2006/relationships/hyperlink" Target="https://dlib.eastview.com/" TargetMode="External"/><Relationship Id="rId1165" Type="http://schemas.openxmlformats.org/officeDocument/2006/relationships/hyperlink" Target="https://dlib.eastview.com/" TargetMode="External"/><Relationship Id="rId1166" Type="http://schemas.openxmlformats.org/officeDocument/2006/relationships/hyperlink" Target="https://dlib.eastview.com/" TargetMode="External"/><Relationship Id="rId1167" Type="http://schemas.openxmlformats.org/officeDocument/2006/relationships/hyperlink" Target="https://dlib.eastview.com/" TargetMode="External"/><Relationship Id="rId1168" Type="http://schemas.openxmlformats.org/officeDocument/2006/relationships/hyperlink" Target="https://dlib.eastview.com/" TargetMode="External"/><Relationship Id="rId1169" Type="http://schemas.openxmlformats.org/officeDocument/2006/relationships/hyperlink" Target="https://dlib.eastview.com/" TargetMode="External"/><Relationship Id="rId1170" Type="http://schemas.openxmlformats.org/officeDocument/2006/relationships/hyperlink" Target="https://dlib.eastview.com/" TargetMode="External"/><Relationship Id="rId1171" Type="http://schemas.openxmlformats.org/officeDocument/2006/relationships/hyperlink" Target="https://dlib.eastview.com/" TargetMode="External"/><Relationship Id="rId1172" Type="http://schemas.openxmlformats.org/officeDocument/2006/relationships/hyperlink" Target="https://dlib.eastview.com/" TargetMode="External"/><Relationship Id="rId1173" Type="http://schemas.openxmlformats.org/officeDocument/2006/relationships/hyperlink" Target="https://dlib.eastview.com/" TargetMode="External"/><Relationship Id="rId1174" Type="http://schemas.openxmlformats.org/officeDocument/2006/relationships/hyperlink" Target="https://dlib.eastview.com/" TargetMode="External"/><Relationship Id="rId1175" Type="http://schemas.openxmlformats.org/officeDocument/2006/relationships/hyperlink" Target="https://dlib.eastview.com/" TargetMode="External"/><Relationship Id="rId1176" Type="http://schemas.openxmlformats.org/officeDocument/2006/relationships/hyperlink" Target="https://dlib.eastview.com/" TargetMode="External"/><Relationship Id="rId1177" Type="http://schemas.openxmlformats.org/officeDocument/2006/relationships/hyperlink" Target="https://dlib.eastview.com/" TargetMode="External"/><Relationship Id="rId1178" Type="http://schemas.openxmlformats.org/officeDocument/2006/relationships/hyperlink" Target="https://dlib.eastview.com/" TargetMode="External"/><Relationship Id="rId1179" Type="http://schemas.openxmlformats.org/officeDocument/2006/relationships/hyperlink" Target="https://dlib.eastview.com/" TargetMode="External"/><Relationship Id="rId1180" Type="http://schemas.openxmlformats.org/officeDocument/2006/relationships/hyperlink" Target="https://dlib.eastview.com/" TargetMode="External"/><Relationship Id="rId1181" Type="http://schemas.openxmlformats.org/officeDocument/2006/relationships/hyperlink" Target="https://dlib.eastview.com/" TargetMode="External"/><Relationship Id="rId1182" Type="http://schemas.openxmlformats.org/officeDocument/2006/relationships/hyperlink" Target="https://dlib.eastview.com/" TargetMode="External"/><Relationship Id="rId1183" Type="http://schemas.openxmlformats.org/officeDocument/2006/relationships/hyperlink" Target="https://dlib.eastview.com/" TargetMode="External"/><Relationship Id="rId1184" Type="http://schemas.openxmlformats.org/officeDocument/2006/relationships/hyperlink" Target="https://dlib.eastview.com/" TargetMode="External"/><Relationship Id="rId1185" Type="http://schemas.openxmlformats.org/officeDocument/2006/relationships/hyperlink" Target="https://dlib.eastview.com/" TargetMode="External"/><Relationship Id="rId1186" Type="http://schemas.openxmlformats.org/officeDocument/2006/relationships/hyperlink" Target="https://dlib.eastview.com/" TargetMode="External"/><Relationship Id="rId1187" Type="http://schemas.openxmlformats.org/officeDocument/2006/relationships/hyperlink" Target="https://dlib.eastview.com/" TargetMode="External"/><Relationship Id="rId1188" Type="http://schemas.openxmlformats.org/officeDocument/2006/relationships/hyperlink" Target="https://dlib.eastview.com/" TargetMode="External"/><Relationship Id="rId1189" Type="http://schemas.openxmlformats.org/officeDocument/2006/relationships/hyperlink" Target="https://dlib.eastview.com/" TargetMode="External"/><Relationship Id="rId1190" Type="http://schemas.openxmlformats.org/officeDocument/2006/relationships/hyperlink" Target="https://dlib.eastview.com/" TargetMode="External"/><Relationship Id="rId1191" Type="http://schemas.openxmlformats.org/officeDocument/2006/relationships/hyperlink" Target="https://dlib.eastview.com/" TargetMode="External"/><Relationship Id="rId1192" Type="http://schemas.openxmlformats.org/officeDocument/2006/relationships/hyperlink" Target="https://dlib.eastview.com/" TargetMode="External"/><Relationship Id="rId1193" Type="http://schemas.openxmlformats.org/officeDocument/2006/relationships/hyperlink" Target="https://dlib.eastview.com/" TargetMode="External"/><Relationship Id="rId1194" Type="http://schemas.openxmlformats.org/officeDocument/2006/relationships/hyperlink" Target="https://dlib.eastview.com/" TargetMode="External"/><Relationship Id="rId1195" Type="http://schemas.openxmlformats.org/officeDocument/2006/relationships/hyperlink" Target="https://dlib.eastview.com/" TargetMode="External"/><Relationship Id="rId1196" Type="http://schemas.openxmlformats.org/officeDocument/2006/relationships/hyperlink" Target="https://dlib.eastview.com/" TargetMode="External"/><Relationship Id="rId1197" Type="http://schemas.openxmlformats.org/officeDocument/2006/relationships/hyperlink" Target="https://dlib.eastview.com/" TargetMode="External"/><Relationship Id="rId1198" Type="http://schemas.openxmlformats.org/officeDocument/2006/relationships/hyperlink" Target="https://dlib.eastview.com/" TargetMode="External"/><Relationship Id="rId1199" Type="http://schemas.openxmlformats.org/officeDocument/2006/relationships/hyperlink" Target="https://dlib.eastview.com/" TargetMode="External"/><Relationship Id="rId1200" Type="http://schemas.openxmlformats.org/officeDocument/2006/relationships/hyperlink" Target="https://dlib.eastview.com/" TargetMode="External"/><Relationship Id="rId1201" Type="http://schemas.openxmlformats.org/officeDocument/2006/relationships/hyperlink" Target="https://dlib.eastview.com/" TargetMode="External"/><Relationship Id="rId1202" Type="http://schemas.openxmlformats.org/officeDocument/2006/relationships/hyperlink" Target="https://dlib.eastview.com/" TargetMode="External"/><Relationship Id="rId1203" Type="http://schemas.openxmlformats.org/officeDocument/2006/relationships/hyperlink" Target="https://dlib.eastview.com/" TargetMode="External"/><Relationship Id="rId1204" Type="http://schemas.openxmlformats.org/officeDocument/2006/relationships/hyperlink" Target="https://dlib.eastview.com/" TargetMode="External"/><Relationship Id="rId1205" Type="http://schemas.openxmlformats.org/officeDocument/2006/relationships/hyperlink" Target="https://dlib.eastview.com/" TargetMode="External"/><Relationship Id="rId1206" Type="http://schemas.openxmlformats.org/officeDocument/2006/relationships/hyperlink" Target="https://dlib.eastview.com/" TargetMode="External"/><Relationship Id="rId1207" Type="http://schemas.openxmlformats.org/officeDocument/2006/relationships/hyperlink" Target="https://dlib.eastview.com/" TargetMode="External"/><Relationship Id="rId1208" Type="http://schemas.openxmlformats.org/officeDocument/2006/relationships/hyperlink" Target="https://dlib.eastview.com/" TargetMode="External"/><Relationship Id="rId1209" Type="http://schemas.openxmlformats.org/officeDocument/2006/relationships/hyperlink" Target="https://dlib.eastview.com/" TargetMode="External"/><Relationship Id="rId1210" Type="http://schemas.openxmlformats.org/officeDocument/2006/relationships/hyperlink" Target="https://dlib.eastview.com/" TargetMode="External"/><Relationship Id="rId1211" Type="http://schemas.openxmlformats.org/officeDocument/2006/relationships/hyperlink" Target="https://dlib.eastview.com/" TargetMode="External"/><Relationship Id="rId1212" Type="http://schemas.openxmlformats.org/officeDocument/2006/relationships/hyperlink" Target="https://dlib.eastview.com/" TargetMode="External"/><Relationship Id="rId1213" Type="http://schemas.openxmlformats.org/officeDocument/2006/relationships/hyperlink" Target="https://dlib.eastview.com/" TargetMode="External"/><Relationship Id="rId1214" Type="http://schemas.openxmlformats.org/officeDocument/2006/relationships/hyperlink" Target="https://dlib.eastview.com/" TargetMode="External"/><Relationship Id="rId1215" Type="http://schemas.openxmlformats.org/officeDocument/2006/relationships/hyperlink" Target="https://dlib.eastview.com/" TargetMode="External"/><Relationship Id="rId1216" Type="http://schemas.openxmlformats.org/officeDocument/2006/relationships/hyperlink" Target="https://dlib.eastview.com/" TargetMode="External"/><Relationship Id="rId1217" Type="http://schemas.openxmlformats.org/officeDocument/2006/relationships/hyperlink" Target="https://dlib.eastview.com/" TargetMode="External"/><Relationship Id="rId1218" Type="http://schemas.openxmlformats.org/officeDocument/2006/relationships/hyperlink" Target="https://dlib.eastview.com/" TargetMode="External"/><Relationship Id="rId1219" Type="http://schemas.openxmlformats.org/officeDocument/2006/relationships/hyperlink" Target="https://dlib.eastview.com/" TargetMode="External"/><Relationship Id="rId1220" Type="http://schemas.openxmlformats.org/officeDocument/2006/relationships/hyperlink" Target="https://dlib.eastview.com/" TargetMode="External"/><Relationship Id="rId1221" Type="http://schemas.openxmlformats.org/officeDocument/2006/relationships/hyperlink" Target="https://dlib.eastview.com/" TargetMode="External"/><Relationship Id="rId1222" Type="http://schemas.openxmlformats.org/officeDocument/2006/relationships/hyperlink" Target="https://dlib.eastview.com/" TargetMode="External"/><Relationship Id="rId1223" Type="http://schemas.openxmlformats.org/officeDocument/2006/relationships/hyperlink" Target="https://dlib.eastview.com/" TargetMode="External"/><Relationship Id="rId1224" Type="http://schemas.openxmlformats.org/officeDocument/2006/relationships/hyperlink" Target="https://dlib.eastview.com/" TargetMode="External"/><Relationship Id="rId1225" Type="http://schemas.openxmlformats.org/officeDocument/2006/relationships/hyperlink" Target="https://dlib.eastview.com/" TargetMode="External"/><Relationship Id="rId1226" Type="http://schemas.openxmlformats.org/officeDocument/2006/relationships/hyperlink" Target="https://dlib.eastview.com/" TargetMode="External"/><Relationship Id="rId1227" Type="http://schemas.openxmlformats.org/officeDocument/2006/relationships/hyperlink" Target="https://dlib.eastview.com/" TargetMode="External"/><Relationship Id="rId1228" Type="http://schemas.openxmlformats.org/officeDocument/2006/relationships/hyperlink" Target="https://dlib.eastview.com/" TargetMode="External"/><Relationship Id="rId1229" Type="http://schemas.openxmlformats.org/officeDocument/2006/relationships/hyperlink" Target="https://dlib.eastview.com/" TargetMode="External"/><Relationship Id="rId1230" Type="http://schemas.openxmlformats.org/officeDocument/2006/relationships/hyperlink" Target="https://dlib.eastview.com/" TargetMode="External"/><Relationship Id="rId1231" Type="http://schemas.openxmlformats.org/officeDocument/2006/relationships/hyperlink" Target="https://dlib.eastview.com/" TargetMode="External"/><Relationship Id="rId1232" Type="http://schemas.openxmlformats.org/officeDocument/2006/relationships/hyperlink" Target="https://dlib.eastview.com/" TargetMode="External"/><Relationship Id="rId1233" Type="http://schemas.openxmlformats.org/officeDocument/2006/relationships/hyperlink" Target="https://dlib.eastview.com/" TargetMode="External"/><Relationship Id="rId1234" Type="http://schemas.openxmlformats.org/officeDocument/2006/relationships/hyperlink" Target="https://dlib.eastview.com/" TargetMode="External"/><Relationship Id="rId1235" Type="http://schemas.openxmlformats.org/officeDocument/2006/relationships/hyperlink" Target="https://dlib.eastview.com/" TargetMode="External"/><Relationship Id="rId1236" Type="http://schemas.openxmlformats.org/officeDocument/2006/relationships/hyperlink" Target="https://dlib.eastview.com/" TargetMode="External"/><Relationship Id="rId1237" Type="http://schemas.openxmlformats.org/officeDocument/2006/relationships/hyperlink" Target="https://dlib.eastview.com/" TargetMode="External"/><Relationship Id="rId1238" Type="http://schemas.openxmlformats.org/officeDocument/2006/relationships/hyperlink" Target="https://dlib.eastview.com/" TargetMode="External"/><Relationship Id="rId1239" Type="http://schemas.openxmlformats.org/officeDocument/2006/relationships/hyperlink" Target="https://dlib.eastview.com/" TargetMode="External"/><Relationship Id="rId1240" Type="http://schemas.openxmlformats.org/officeDocument/2006/relationships/hyperlink" Target="https://dlib.eastview.com/" TargetMode="External"/><Relationship Id="rId1241" Type="http://schemas.openxmlformats.org/officeDocument/2006/relationships/hyperlink" Target="https://dlib.eastview.com/" TargetMode="External"/><Relationship Id="rId1242" Type="http://schemas.openxmlformats.org/officeDocument/2006/relationships/hyperlink" Target="https://dlib.eastview.com/" TargetMode="External"/><Relationship Id="rId1243" Type="http://schemas.openxmlformats.org/officeDocument/2006/relationships/hyperlink" Target="https://dlib.eastview.com/" TargetMode="External"/><Relationship Id="rId1244" Type="http://schemas.openxmlformats.org/officeDocument/2006/relationships/hyperlink" Target="https://dlib.eastview.com/" TargetMode="External"/><Relationship Id="rId1245" Type="http://schemas.openxmlformats.org/officeDocument/2006/relationships/hyperlink" Target="https://dlib.eastview.com/" TargetMode="External"/><Relationship Id="rId1246" Type="http://schemas.openxmlformats.org/officeDocument/2006/relationships/hyperlink" Target="https://dlib.eastview.com/" TargetMode="External"/><Relationship Id="rId1247" Type="http://schemas.openxmlformats.org/officeDocument/2006/relationships/hyperlink" Target="https://dlib.eastview.com/" TargetMode="External"/><Relationship Id="rId1248" Type="http://schemas.openxmlformats.org/officeDocument/2006/relationships/hyperlink" Target="https://dlib.eastview.com/" TargetMode="External"/><Relationship Id="rId1249" Type="http://schemas.openxmlformats.org/officeDocument/2006/relationships/hyperlink" Target="https://dlib.eastview.com/" TargetMode="External"/><Relationship Id="rId1250" Type="http://schemas.openxmlformats.org/officeDocument/2006/relationships/hyperlink" Target="https://dlib.eastview.com/" TargetMode="External"/><Relationship Id="rId1251" Type="http://schemas.openxmlformats.org/officeDocument/2006/relationships/hyperlink" Target="https://dlib.eastview.com/" TargetMode="External"/><Relationship Id="rId1252" Type="http://schemas.openxmlformats.org/officeDocument/2006/relationships/hyperlink" Target="https://dlib.eastview.com/" TargetMode="External"/><Relationship Id="rId1253" Type="http://schemas.openxmlformats.org/officeDocument/2006/relationships/hyperlink" Target="https://dlib.eastview.com/" TargetMode="External"/><Relationship Id="rId1254" Type="http://schemas.openxmlformats.org/officeDocument/2006/relationships/hyperlink" Target="https://dlib.eastview.com/" TargetMode="External"/><Relationship Id="rId1255" Type="http://schemas.openxmlformats.org/officeDocument/2006/relationships/hyperlink" Target="https://dlib.eastview.com/" TargetMode="External"/><Relationship Id="rId1256" Type="http://schemas.openxmlformats.org/officeDocument/2006/relationships/hyperlink" Target="https://dlib.eastview.com/" TargetMode="External"/><Relationship Id="rId1257" Type="http://schemas.openxmlformats.org/officeDocument/2006/relationships/hyperlink" Target="https://dlib.eastview.com/" TargetMode="External"/><Relationship Id="rId1258" Type="http://schemas.openxmlformats.org/officeDocument/2006/relationships/hyperlink" Target="https://dlib.eastview.com/" TargetMode="External"/><Relationship Id="rId1259" Type="http://schemas.openxmlformats.org/officeDocument/2006/relationships/hyperlink" Target="https://dlib.eastview.com/" TargetMode="External"/><Relationship Id="rId1260" Type="http://schemas.openxmlformats.org/officeDocument/2006/relationships/hyperlink" Target="https://dlib.eastview.com/" TargetMode="External"/><Relationship Id="rId1261" Type="http://schemas.openxmlformats.org/officeDocument/2006/relationships/hyperlink" Target="https://dlib.eastview.com/" TargetMode="External"/><Relationship Id="rId1262" Type="http://schemas.openxmlformats.org/officeDocument/2006/relationships/hyperlink" Target="https://dlib.eastview.com/" TargetMode="External"/><Relationship Id="rId1263" Type="http://schemas.openxmlformats.org/officeDocument/2006/relationships/hyperlink" Target="https://dlib.eastview.com/" TargetMode="External"/><Relationship Id="rId1264" Type="http://schemas.openxmlformats.org/officeDocument/2006/relationships/hyperlink" Target="https://dlib.eastview.com/" TargetMode="External"/><Relationship Id="rId1265" Type="http://schemas.openxmlformats.org/officeDocument/2006/relationships/hyperlink" Target="https://dlib.eastview.com/" TargetMode="External"/><Relationship Id="rId1266" Type="http://schemas.openxmlformats.org/officeDocument/2006/relationships/hyperlink" Target="https://dlib.eastview.com/" TargetMode="External"/><Relationship Id="rId1267" Type="http://schemas.openxmlformats.org/officeDocument/2006/relationships/hyperlink" Target="https://dlib.eastview.com/" TargetMode="External"/><Relationship Id="rId1268" Type="http://schemas.openxmlformats.org/officeDocument/2006/relationships/hyperlink" Target="https://dlib.eastview.com/" TargetMode="External"/><Relationship Id="rId1269" Type="http://schemas.openxmlformats.org/officeDocument/2006/relationships/hyperlink" Target="https://dlib.eastview.com/" TargetMode="External"/><Relationship Id="rId1270" Type="http://schemas.openxmlformats.org/officeDocument/2006/relationships/hyperlink" Target="https://dlib.eastview.com/" TargetMode="External"/><Relationship Id="rId1271" Type="http://schemas.openxmlformats.org/officeDocument/2006/relationships/hyperlink" Target="https://dlib.eastview.com/" TargetMode="External"/><Relationship Id="rId1272" Type="http://schemas.openxmlformats.org/officeDocument/2006/relationships/hyperlink" Target="https://dlib.eastview.com/" TargetMode="External"/><Relationship Id="rId1273" Type="http://schemas.openxmlformats.org/officeDocument/2006/relationships/hyperlink" Target="https://dlib.eastview.com/" TargetMode="External"/><Relationship Id="rId1274" Type="http://schemas.openxmlformats.org/officeDocument/2006/relationships/hyperlink" Target="https://dlib.eastview.com/" TargetMode="External"/><Relationship Id="rId1275" Type="http://schemas.openxmlformats.org/officeDocument/2006/relationships/hyperlink" Target="https://dlib.eastview.com/" TargetMode="External"/><Relationship Id="rId1276" Type="http://schemas.openxmlformats.org/officeDocument/2006/relationships/hyperlink" Target="https://dlib.eastview.com/" TargetMode="External"/><Relationship Id="rId1277" Type="http://schemas.openxmlformats.org/officeDocument/2006/relationships/hyperlink" Target="https://dlib.eastview.com/" TargetMode="External"/><Relationship Id="rId1278" Type="http://schemas.openxmlformats.org/officeDocument/2006/relationships/hyperlink" Target="https://dlib.eastview.com/" TargetMode="External"/><Relationship Id="rId1279" Type="http://schemas.openxmlformats.org/officeDocument/2006/relationships/hyperlink" Target="https://dlib.eastview.com/" TargetMode="External"/><Relationship Id="rId1280" Type="http://schemas.openxmlformats.org/officeDocument/2006/relationships/hyperlink" Target="https://dlib.eastview.com/" TargetMode="External"/><Relationship Id="rId1281" Type="http://schemas.openxmlformats.org/officeDocument/2006/relationships/hyperlink" Target="https://dlib.eastview.com/" TargetMode="External"/><Relationship Id="rId1282" Type="http://schemas.openxmlformats.org/officeDocument/2006/relationships/hyperlink" Target="https://dlib.eastview.com/" TargetMode="External"/><Relationship Id="rId1283" Type="http://schemas.openxmlformats.org/officeDocument/2006/relationships/hyperlink" Target="https://dlib.eastview.com/" TargetMode="External"/><Relationship Id="rId1284" Type="http://schemas.openxmlformats.org/officeDocument/2006/relationships/hyperlink" Target="https://dlib.eastview.com/" TargetMode="External"/><Relationship Id="rId1285" Type="http://schemas.openxmlformats.org/officeDocument/2006/relationships/hyperlink" Target="https://dlib.eastview.com/" TargetMode="External"/><Relationship Id="rId1286" Type="http://schemas.openxmlformats.org/officeDocument/2006/relationships/hyperlink" Target="https://dlib.eastview.com/" TargetMode="External"/><Relationship Id="rId1287" Type="http://schemas.openxmlformats.org/officeDocument/2006/relationships/hyperlink" Target="https://dlib.eastview.com/" TargetMode="External"/><Relationship Id="rId1288" Type="http://schemas.openxmlformats.org/officeDocument/2006/relationships/hyperlink" Target="https://dlib.eastview.com/" TargetMode="External"/><Relationship Id="rId1289" Type="http://schemas.openxmlformats.org/officeDocument/2006/relationships/hyperlink" Target="https://dlib.eastview.com/" TargetMode="External"/><Relationship Id="rId1290" Type="http://schemas.openxmlformats.org/officeDocument/2006/relationships/hyperlink" Target="https://dlib.eastview.com/" TargetMode="External"/><Relationship Id="rId1291" Type="http://schemas.openxmlformats.org/officeDocument/2006/relationships/hyperlink" Target="https://dlib.eastview.com/" TargetMode="External"/><Relationship Id="rId1292" Type="http://schemas.openxmlformats.org/officeDocument/2006/relationships/hyperlink" Target="https://dlib.eastview.com/" TargetMode="External"/><Relationship Id="rId1293" Type="http://schemas.openxmlformats.org/officeDocument/2006/relationships/hyperlink" Target="https://dlib.eastview.com/" TargetMode="External"/><Relationship Id="rId1294" Type="http://schemas.openxmlformats.org/officeDocument/2006/relationships/hyperlink" Target="https://dlib.eastview.com/" TargetMode="External"/><Relationship Id="rId1295" Type="http://schemas.openxmlformats.org/officeDocument/2006/relationships/hyperlink" Target="https://dlib.eastview.com/" TargetMode="External"/><Relationship Id="rId1296" Type="http://schemas.openxmlformats.org/officeDocument/2006/relationships/hyperlink" Target="https://dlib.eastview.com/" TargetMode="External"/><Relationship Id="rId1297" Type="http://schemas.openxmlformats.org/officeDocument/2006/relationships/hyperlink" Target="https://dlib.eastview.com/" TargetMode="External"/><Relationship Id="rId1298" Type="http://schemas.openxmlformats.org/officeDocument/2006/relationships/hyperlink" Target="https://dlib.eastview.com/" TargetMode="External"/><Relationship Id="rId1299" Type="http://schemas.openxmlformats.org/officeDocument/2006/relationships/hyperlink" Target="https://dlib.eastview.com/" TargetMode="External"/><Relationship Id="rId1300" Type="http://schemas.openxmlformats.org/officeDocument/2006/relationships/hyperlink" Target="https://dlib.eastview.com/" TargetMode="External"/><Relationship Id="rId1301" Type="http://schemas.openxmlformats.org/officeDocument/2006/relationships/hyperlink" Target="https://dlib.eastview.com/" TargetMode="External"/><Relationship Id="rId1302" Type="http://schemas.openxmlformats.org/officeDocument/2006/relationships/hyperlink" Target="https://dlib.eastview.com/" TargetMode="External"/><Relationship Id="rId1303" Type="http://schemas.openxmlformats.org/officeDocument/2006/relationships/hyperlink" Target="https://dlib.eastview.com/" TargetMode="External"/><Relationship Id="rId1304" Type="http://schemas.openxmlformats.org/officeDocument/2006/relationships/hyperlink" Target="https://dlib.eastview.com/" TargetMode="External"/><Relationship Id="rId1305" Type="http://schemas.openxmlformats.org/officeDocument/2006/relationships/hyperlink" Target="https://dlib.eastview.com/" TargetMode="External"/><Relationship Id="rId1306" Type="http://schemas.openxmlformats.org/officeDocument/2006/relationships/hyperlink" Target="https://dlib.eastview.com/" TargetMode="External"/><Relationship Id="rId1307" Type="http://schemas.openxmlformats.org/officeDocument/2006/relationships/hyperlink" Target="https://dlib.eastview.com/" TargetMode="External"/><Relationship Id="rId1308" Type="http://schemas.openxmlformats.org/officeDocument/2006/relationships/hyperlink" Target="https://dlib.eastview.com/" TargetMode="External"/><Relationship Id="rId1309" Type="http://schemas.openxmlformats.org/officeDocument/2006/relationships/hyperlink" Target="https://dlib.eastview.com/" TargetMode="External"/><Relationship Id="rId1310" Type="http://schemas.openxmlformats.org/officeDocument/2006/relationships/hyperlink" Target="https://dlib.eastview.com/" TargetMode="External"/><Relationship Id="rId1311" Type="http://schemas.openxmlformats.org/officeDocument/2006/relationships/hyperlink" Target="https://dlib.eastview.com/" TargetMode="External"/><Relationship Id="rId1312" Type="http://schemas.openxmlformats.org/officeDocument/2006/relationships/hyperlink" Target="https://dlib.eastview.com/" TargetMode="External"/><Relationship Id="rId1313" Type="http://schemas.openxmlformats.org/officeDocument/2006/relationships/hyperlink" Target="https://dlib.eastview.com/" TargetMode="External"/><Relationship Id="rId1314" Type="http://schemas.openxmlformats.org/officeDocument/2006/relationships/hyperlink" Target="https://dlib.eastview.com/" TargetMode="External"/><Relationship Id="rId1315" Type="http://schemas.openxmlformats.org/officeDocument/2006/relationships/hyperlink" Target="https://dlib.eastview.com/" TargetMode="External"/><Relationship Id="rId1316" Type="http://schemas.openxmlformats.org/officeDocument/2006/relationships/hyperlink" Target="https://dlib.eastview.com/" TargetMode="External"/><Relationship Id="rId1317" Type="http://schemas.openxmlformats.org/officeDocument/2006/relationships/hyperlink" Target="https://dlib.eastview.com/" TargetMode="External"/><Relationship Id="rId1318" Type="http://schemas.openxmlformats.org/officeDocument/2006/relationships/hyperlink" Target="https://dlib.eastview.com/" TargetMode="External"/><Relationship Id="rId1319" Type="http://schemas.openxmlformats.org/officeDocument/2006/relationships/hyperlink" Target="https://dlib.eastview.com/" TargetMode="External"/><Relationship Id="rId1320" Type="http://schemas.openxmlformats.org/officeDocument/2006/relationships/hyperlink" Target="https://dlib.eastview.com/" TargetMode="External"/><Relationship Id="rId1321" Type="http://schemas.openxmlformats.org/officeDocument/2006/relationships/hyperlink" Target="https://dlib.eastview.com/" TargetMode="External"/><Relationship Id="rId1322" Type="http://schemas.openxmlformats.org/officeDocument/2006/relationships/hyperlink" Target="https://dlib.eastview.com/" TargetMode="External"/><Relationship Id="rId1323" Type="http://schemas.openxmlformats.org/officeDocument/2006/relationships/hyperlink" Target="https://dlib.eastview.com/" TargetMode="External"/><Relationship Id="rId1324" Type="http://schemas.openxmlformats.org/officeDocument/2006/relationships/hyperlink" Target="https://dlib.eastview.com/" TargetMode="External"/><Relationship Id="rId1325" Type="http://schemas.openxmlformats.org/officeDocument/2006/relationships/hyperlink" Target="https://dlib.eastview.com/" TargetMode="External"/><Relationship Id="rId1326" Type="http://schemas.openxmlformats.org/officeDocument/2006/relationships/hyperlink" Target="https://dlib.eastview.com/" TargetMode="External"/><Relationship Id="rId1327" Type="http://schemas.openxmlformats.org/officeDocument/2006/relationships/hyperlink" Target="https://dlib.eastview.com/" TargetMode="External"/><Relationship Id="rId1328" Type="http://schemas.openxmlformats.org/officeDocument/2006/relationships/hyperlink" Target="https://dlib.eastview.com/" TargetMode="External"/><Relationship Id="rId1329" Type="http://schemas.openxmlformats.org/officeDocument/2006/relationships/hyperlink" Target="https://dlib.eastview.com/" TargetMode="External"/><Relationship Id="rId1330" Type="http://schemas.openxmlformats.org/officeDocument/2006/relationships/hyperlink" Target="https://dlib.eastview.com/" TargetMode="External"/><Relationship Id="rId1331" Type="http://schemas.openxmlformats.org/officeDocument/2006/relationships/hyperlink" Target="https://dlib.eastview.com/" TargetMode="External"/><Relationship Id="rId1332" Type="http://schemas.openxmlformats.org/officeDocument/2006/relationships/hyperlink" Target="https://dlib.eastview.com/" TargetMode="External"/><Relationship Id="rId1333" Type="http://schemas.openxmlformats.org/officeDocument/2006/relationships/hyperlink" Target="https://dlib.eastview.com/" TargetMode="External"/><Relationship Id="rId1334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e.26-2.ru/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69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C6" activeCellId="0" sqref="C6"/>
    </sheetView>
  </sheetViews>
  <sheetFormatPr defaultRowHeight="13.8" zeroHeight="false" outlineLevelRow="0" outlineLevelCol="0"/>
  <cols>
    <col collapsed="false" customWidth="true" hidden="false" outlineLevel="0" max="1" min="1" style="1" width="62.66"/>
    <col collapsed="false" customWidth="true" hidden="false" outlineLevel="0" max="2" min="2" style="2" width="13.55"/>
    <col collapsed="false" customWidth="true" hidden="false" outlineLevel="0" max="3" min="3" style="3" width="49.44"/>
    <col collapsed="false" customWidth="true" hidden="false" outlineLevel="0" max="4" min="4" style="4" width="19.33"/>
    <col collapsed="false" customWidth="true" hidden="false" outlineLevel="0" max="5" min="5" style="0" width="19.56"/>
    <col collapsed="false" customWidth="true" hidden="false" outlineLevel="0" max="6" min="6" style="0" width="25.67"/>
    <col collapsed="false" customWidth="true" hidden="false" outlineLevel="0" max="9" min="7" style="5" width="25.89"/>
    <col collapsed="false" customWidth="true" hidden="false" outlineLevel="0" max="10" min="10" style="0" width="16.56"/>
    <col collapsed="false" customWidth="true" hidden="false" outlineLevel="0" max="11" min="11" style="0" width="20.99"/>
    <col collapsed="false" customWidth="true" hidden="false" outlineLevel="0" max="12" min="12" style="5" width="14.34"/>
    <col collapsed="false" customWidth="true" hidden="false" outlineLevel="0" max="13" min="13" style="5" width="11.66"/>
    <col collapsed="false" customWidth="true" hidden="false" outlineLevel="0" max="14" min="14" style="6" width="24.67"/>
    <col collapsed="false" customWidth="true" hidden="false" outlineLevel="0" max="15" min="15" style="0" width="13.44"/>
    <col collapsed="false" customWidth="true" hidden="false" outlineLevel="0" max="16" min="16" style="0" width="25.56"/>
    <col collapsed="false" customWidth="true" hidden="false" outlineLevel="0" max="18" min="17" style="7" width="26.33"/>
    <col collapsed="false" customWidth="true" hidden="false" outlineLevel="0" max="19" min="19" style="7" width="24.44"/>
    <col collapsed="false" customWidth="true" hidden="false" outlineLevel="0" max="20" min="20" style="8" width="20.45"/>
    <col collapsed="false" customWidth="true" hidden="false" outlineLevel="0" max="21" min="21" style="0" width="62.45"/>
    <col collapsed="false" customWidth="true" hidden="false" outlineLevel="0" max="1025" min="22" style="0" width="8.67"/>
  </cols>
  <sheetData>
    <row r="1" customFormat="false" ht="39.6" hidden="false" customHeight="false" outlineLevel="0" collapsed="false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1" t="s">
        <v>19</v>
      </c>
      <c r="U1" s="10" t="s">
        <v>20</v>
      </c>
    </row>
    <row r="2" s="25" customFormat="true" ht="41.4" hidden="false" customHeight="false" outlineLevel="0" collapsed="false">
      <c r="A2" s="12" t="s">
        <v>21</v>
      </c>
      <c r="B2" s="13" t="s">
        <v>22</v>
      </c>
      <c r="C2" s="14" t="s">
        <v>23</v>
      </c>
      <c r="D2" s="15" t="n">
        <v>4</v>
      </c>
      <c r="E2" s="16" t="n">
        <f aca="false">F2/2</f>
        <v>100</v>
      </c>
      <c r="F2" s="16" t="n">
        <v>200</v>
      </c>
      <c r="G2" s="15" t="s">
        <v>24</v>
      </c>
      <c r="H2" s="17" t="s">
        <v>25</v>
      </c>
      <c r="I2" s="18" t="s">
        <v>26</v>
      </c>
      <c r="J2" s="15" t="n">
        <v>2010</v>
      </c>
      <c r="K2" s="19" t="s">
        <v>27</v>
      </c>
      <c r="L2" s="15" t="s">
        <v>28</v>
      </c>
      <c r="M2" s="15" t="s">
        <v>29</v>
      </c>
      <c r="N2" s="20"/>
      <c r="O2" s="15"/>
      <c r="P2" s="15"/>
      <c r="Q2" s="21"/>
      <c r="R2" s="22" t="s">
        <v>30</v>
      </c>
      <c r="S2" s="22"/>
      <c r="T2" s="23"/>
      <c r="U2" s="24"/>
    </row>
    <row r="3" s="25" customFormat="true" ht="41.4" hidden="false" customHeight="false" outlineLevel="0" collapsed="false">
      <c r="A3" s="12" t="s">
        <v>31</v>
      </c>
      <c r="B3" s="13" t="s">
        <v>32</v>
      </c>
      <c r="C3" s="14" t="s">
        <v>23</v>
      </c>
      <c r="D3" s="15" t="n">
        <v>4</v>
      </c>
      <c r="E3" s="16" t="n">
        <f aca="false">F3/2</f>
        <v>100</v>
      </c>
      <c r="F3" s="16" t="n">
        <v>200</v>
      </c>
      <c r="G3" s="15" t="s">
        <v>24</v>
      </c>
      <c r="H3" s="17" t="s">
        <v>25</v>
      </c>
      <c r="I3" s="18" t="s">
        <v>26</v>
      </c>
      <c r="J3" s="15" t="n">
        <v>2010</v>
      </c>
      <c r="K3" s="19" t="s">
        <v>27</v>
      </c>
      <c r="L3" s="15" t="s">
        <v>28</v>
      </c>
      <c r="M3" s="15" t="s">
        <v>33</v>
      </c>
      <c r="N3" s="20"/>
      <c r="O3" s="15"/>
      <c r="P3" s="15"/>
      <c r="Q3" s="21"/>
      <c r="R3" s="22" t="s">
        <v>30</v>
      </c>
      <c r="S3" s="22"/>
      <c r="T3" s="23"/>
      <c r="U3" s="24"/>
    </row>
    <row r="4" s="25" customFormat="true" ht="41.4" hidden="false" customHeight="false" outlineLevel="0" collapsed="false">
      <c r="A4" s="12" t="s">
        <v>34</v>
      </c>
      <c r="B4" s="26"/>
      <c r="C4" s="14" t="s">
        <v>35</v>
      </c>
      <c r="D4" s="15" t="n">
        <v>4</v>
      </c>
      <c r="E4" s="27" t="n">
        <f aca="false">F4/2</f>
        <v>50</v>
      </c>
      <c r="F4" s="16" t="n">
        <v>100</v>
      </c>
      <c r="G4" s="15" t="s">
        <v>36</v>
      </c>
      <c r="H4" s="17" t="s">
        <v>25</v>
      </c>
      <c r="I4" s="18" t="s">
        <v>26</v>
      </c>
      <c r="J4" s="15" t="n">
        <v>2025</v>
      </c>
      <c r="K4" s="19" t="s">
        <v>37</v>
      </c>
      <c r="L4" s="15" t="s">
        <v>28</v>
      </c>
      <c r="M4" s="15"/>
      <c r="N4" s="17"/>
      <c r="O4" s="15"/>
      <c r="P4" s="15"/>
      <c r="Q4" s="21"/>
      <c r="R4" s="21"/>
      <c r="S4" s="21"/>
      <c r="T4" s="28"/>
      <c r="U4" s="24"/>
    </row>
    <row r="5" s="25" customFormat="true" ht="41.4" hidden="false" customHeight="false" outlineLevel="0" collapsed="false">
      <c r="A5" s="29" t="s">
        <v>38</v>
      </c>
      <c r="B5" s="30"/>
      <c r="C5" s="14" t="s">
        <v>39</v>
      </c>
      <c r="D5" s="15" t="n">
        <v>2</v>
      </c>
      <c r="E5" s="16" t="n">
        <f aca="false">F5/2</f>
        <v>1000</v>
      </c>
      <c r="F5" s="16" t="n">
        <v>2000</v>
      </c>
      <c r="G5" s="15" t="s">
        <v>36</v>
      </c>
      <c r="H5" s="17" t="s">
        <v>25</v>
      </c>
      <c r="I5" s="18" t="s">
        <v>26</v>
      </c>
      <c r="J5" s="15" t="n">
        <v>2023</v>
      </c>
      <c r="K5" s="19" t="s">
        <v>27</v>
      </c>
      <c r="L5" s="15" t="s">
        <v>28</v>
      </c>
      <c r="M5" s="15" t="s">
        <v>29</v>
      </c>
      <c r="N5" s="17" t="s">
        <v>40</v>
      </c>
      <c r="O5" s="15"/>
      <c r="P5" s="15"/>
      <c r="Q5" s="21" t="s">
        <v>41</v>
      </c>
      <c r="R5" s="22"/>
      <c r="S5" s="22"/>
      <c r="T5" s="23"/>
      <c r="U5" s="24"/>
    </row>
    <row r="6" s="25" customFormat="true" ht="84" hidden="false" customHeight="true" outlineLevel="0" collapsed="false">
      <c r="A6" s="12" t="s">
        <v>42</v>
      </c>
      <c r="B6" s="13" t="s">
        <v>43</v>
      </c>
      <c r="C6" s="14" t="s">
        <v>44</v>
      </c>
      <c r="D6" s="15" t="n">
        <v>12</v>
      </c>
      <c r="E6" s="16" t="n">
        <f aca="false">F6/2</f>
        <v>4260</v>
      </c>
      <c r="F6" s="16" t="n">
        <v>8520</v>
      </c>
      <c r="G6" s="15" t="s">
        <v>24</v>
      </c>
      <c r="H6" s="17" t="s">
        <v>25</v>
      </c>
      <c r="I6" s="18" t="s">
        <v>26</v>
      </c>
      <c r="J6" s="15" t="n">
        <v>2006</v>
      </c>
      <c r="K6" s="19" t="s">
        <v>27</v>
      </c>
      <c r="L6" s="15" t="s">
        <v>28</v>
      </c>
      <c r="M6" s="15" t="s">
        <v>33</v>
      </c>
      <c r="N6" s="17" t="s">
        <v>45</v>
      </c>
      <c r="O6" s="15" t="s">
        <v>46</v>
      </c>
      <c r="P6" s="15"/>
      <c r="Q6" s="21" t="s">
        <v>47</v>
      </c>
      <c r="R6" s="21"/>
      <c r="S6" s="21"/>
      <c r="T6" s="31" t="n">
        <v>45909</v>
      </c>
      <c r="U6" s="24" t="s">
        <v>48</v>
      </c>
    </row>
    <row r="7" s="25" customFormat="true" ht="41.4" hidden="false" customHeight="false" outlineLevel="0" collapsed="false">
      <c r="A7" s="12" t="s">
        <v>49</v>
      </c>
      <c r="B7" s="26" t="s">
        <v>50</v>
      </c>
      <c r="C7" s="14" t="s">
        <v>51</v>
      </c>
      <c r="D7" s="15" t="n">
        <v>4</v>
      </c>
      <c r="E7" s="16" t="n">
        <f aca="false">F7/2</f>
        <v>50</v>
      </c>
      <c r="F7" s="16" t="n">
        <v>100</v>
      </c>
      <c r="G7" s="15" t="s">
        <v>24</v>
      </c>
      <c r="H7" s="17" t="s">
        <v>25</v>
      </c>
      <c r="I7" s="18" t="s">
        <v>26</v>
      </c>
      <c r="J7" s="15" t="n">
        <v>2014</v>
      </c>
      <c r="K7" s="19" t="s">
        <v>52</v>
      </c>
      <c r="L7" s="15" t="s">
        <v>28</v>
      </c>
      <c r="M7" s="15" t="s">
        <v>33</v>
      </c>
      <c r="N7" s="17" t="s">
        <v>53</v>
      </c>
      <c r="O7" s="15" t="s">
        <v>54</v>
      </c>
      <c r="P7" s="15"/>
      <c r="Q7" s="21" t="s">
        <v>55</v>
      </c>
      <c r="R7" s="21"/>
      <c r="S7" s="21"/>
      <c r="T7" s="28"/>
      <c r="U7" s="24"/>
    </row>
    <row r="8" s="25" customFormat="true" ht="41.4" hidden="false" customHeight="false" outlineLevel="0" collapsed="false">
      <c r="A8" s="12" t="s">
        <v>56</v>
      </c>
      <c r="B8" s="13" t="s">
        <v>57</v>
      </c>
      <c r="C8" s="14" t="s">
        <v>58</v>
      </c>
      <c r="D8" s="15" t="n">
        <v>4</v>
      </c>
      <c r="E8" s="16" t="n">
        <f aca="false">F8/2</f>
        <v>6857</v>
      </c>
      <c r="F8" s="16" t="n">
        <f aca="false">CEILING(11428*1.2,1)</f>
        <v>13714</v>
      </c>
      <c r="G8" s="15" t="s">
        <v>36</v>
      </c>
      <c r="H8" s="17" t="s">
        <v>25</v>
      </c>
      <c r="I8" s="18" t="s">
        <v>26</v>
      </c>
      <c r="J8" s="15" t="n">
        <v>2016</v>
      </c>
      <c r="K8" s="19" t="s">
        <v>59</v>
      </c>
      <c r="L8" s="15" t="s">
        <v>28</v>
      </c>
      <c r="M8" s="15" t="s">
        <v>29</v>
      </c>
      <c r="N8" s="17" t="s">
        <v>60</v>
      </c>
      <c r="O8" s="15"/>
      <c r="P8" s="15"/>
      <c r="Q8" s="21"/>
      <c r="R8" s="21"/>
      <c r="S8" s="21"/>
      <c r="T8" s="31" t="n">
        <v>45917</v>
      </c>
      <c r="U8" s="24"/>
    </row>
    <row r="9" s="25" customFormat="true" ht="41.4" hidden="false" customHeight="false" outlineLevel="0" collapsed="false">
      <c r="A9" s="29" t="s">
        <v>61</v>
      </c>
      <c r="B9" s="30"/>
      <c r="C9" s="14" t="s">
        <v>39</v>
      </c>
      <c r="D9" s="15" t="n">
        <v>2</v>
      </c>
      <c r="E9" s="16" t="n">
        <f aca="false">F9/2</f>
        <v>1000</v>
      </c>
      <c r="F9" s="16" t="n">
        <v>2000</v>
      </c>
      <c r="G9" s="15" t="s">
        <v>36</v>
      </c>
      <c r="H9" s="17" t="s">
        <v>25</v>
      </c>
      <c r="I9" s="18" t="s">
        <v>26</v>
      </c>
      <c r="J9" s="15" t="n">
        <v>2023</v>
      </c>
      <c r="K9" s="19" t="s">
        <v>27</v>
      </c>
      <c r="L9" s="15" t="s">
        <v>28</v>
      </c>
      <c r="M9" s="15" t="s">
        <v>29</v>
      </c>
      <c r="N9" s="17" t="s">
        <v>40</v>
      </c>
      <c r="O9" s="15"/>
      <c r="P9" s="15"/>
      <c r="Q9" s="21" t="s">
        <v>41</v>
      </c>
      <c r="R9" s="21"/>
      <c r="S9" s="21"/>
      <c r="T9" s="28"/>
      <c r="U9" s="24"/>
    </row>
    <row r="10" s="25" customFormat="true" ht="41.4" hidden="false" customHeight="false" outlineLevel="0" collapsed="false">
      <c r="A10" s="12" t="s">
        <v>62</v>
      </c>
      <c r="B10" s="13" t="s">
        <v>63</v>
      </c>
      <c r="C10" s="14" t="s">
        <v>64</v>
      </c>
      <c r="D10" s="15" t="n">
        <v>4</v>
      </c>
      <c r="E10" s="16" t="n">
        <v>880</v>
      </c>
      <c r="F10" s="16" t="n">
        <v>1760</v>
      </c>
      <c r="G10" s="15" t="s">
        <v>36</v>
      </c>
      <c r="H10" s="17" t="s">
        <v>25</v>
      </c>
      <c r="I10" s="18" t="s">
        <v>26</v>
      </c>
      <c r="J10" s="15" t="n">
        <v>2013</v>
      </c>
      <c r="K10" s="19" t="s">
        <v>65</v>
      </c>
      <c r="L10" s="15" t="s">
        <v>28</v>
      </c>
      <c r="M10" s="15" t="s">
        <v>33</v>
      </c>
      <c r="N10" s="17" t="s">
        <v>66</v>
      </c>
      <c r="O10" s="15" t="s">
        <v>67</v>
      </c>
      <c r="P10" s="15"/>
      <c r="Q10" s="21" t="s">
        <v>68</v>
      </c>
      <c r="R10" s="21"/>
      <c r="S10" s="21"/>
      <c r="T10" s="28"/>
      <c r="U10" s="24"/>
    </row>
    <row r="11" s="25" customFormat="true" ht="41.4" hidden="false" customHeight="false" outlineLevel="0" collapsed="false">
      <c r="A11" s="12" t="s">
        <v>69</v>
      </c>
      <c r="B11" s="13" t="s">
        <v>70</v>
      </c>
      <c r="C11" s="14" t="s">
        <v>71</v>
      </c>
      <c r="D11" s="15" t="n">
        <v>4</v>
      </c>
      <c r="E11" s="16" t="n">
        <f aca="false">F11/2</f>
        <v>50</v>
      </c>
      <c r="F11" s="16" t="n">
        <v>100</v>
      </c>
      <c r="G11" s="15" t="s">
        <v>36</v>
      </c>
      <c r="H11" s="17" t="s">
        <v>25</v>
      </c>
      <c r="I11" s="18" t="s">
        <v>26</v>
      </c>
      <c r="J11" s="15" t="n">
        <v>2014</v>
      </c>
      <c r="K11" s="19" t="s">
        <v>27</v>
      </c>
      <c r="L11" s="15" t="s">
        <v>28</v>
      </c>
      <c r="M11" s="15" t="s">
        <v>33</v>
      </c>
      <c r="N11" s="17" t="s">
        <v>72</v>
      </c>
      <c r="O11" s="15"/>
      <c r="P11" s="15"/>
      <c r="Q11" s="21" t="s">
        <v>73</v>
      </c>
      <c r="R11" s="21"/>
      <c r="S11" s="21"/>
      <c r="T11" s="28"/>
      <c r="U11" s="24"/>
    </row>
    <row r="12" s="25" customFormat="true" ht="41.4" hidden="false" customHeight="false" outlineLevel="0" collapsed="false">
      <c r="A12" s="12" t="s">
        <v>74</v>
      </c>
      <c r="B12" s="13" t="s">
        <v>75</v>
      </c>
      <c r="C12" s="14" t="s">
        <v>76</v>
      </c>
      <c r="D12" s="15" t="n">
        <v>12</v>
      </c>
      <c r="E12" s="16" t="n">
        <f aca="false">F12/2</f>
        <v>7087.5</v>
      </c>
      <c r="F12" s="16" t="n">
        <f aca="false">18900*0.75</f>
        <v>14175</v>
      </c>
      <c r="G12" s="15" t="s">
        <v>36</v>
      </c>
      <c r="H12" s="17" t="s">
        <v>25</v>
      </c>
      <c r="I12" s="18" t="s">
        <v>26</v>
      </c>
      <c r="J12" s="15" t="n">
        <v>2013</v>
      </c>
      <c r="K12" s="19" t="s">
        <v>27</v>
      </c>
      <c r="L12" s="15" t="s">
        <v>28</v>
      </c>
      <c r="M12" s="15" t="s">
        <v>33</v>
      </c>
      <c r="N12" s="17" t="s">
        <v>77</v>
      </c>
      <c r="O12" s="15"/>
      <c r="P12" s="15"/>
      <c r="Q12" s="21" t="s">
        <v>78</v>
      </c>
      <c r="R12" s="21" t="s">
        <v>79</v>
      </c>
      <c r="S12" s="21"/>
      <c r="T12" s="31" t="n">
        <v>45852</v>
      </c>
      <c r="U12" s="24"/>
    </row>
    <row r="13" s="25" customFormat="true" ht="41.4" hidden="false" customHeight="false" outlineLevel="0" collapsed="false">
      <c r="A13" s="12" t="s">
        <v>80</v>
      </c>
      <c r="B13" s="26"/>
      <c r="C13" s="14" t="s">
        <v>81</v>
      </c>
      <c r="D13" s="15" t="n">
        <v>4</v>
      </c>
      <c r="E13" s="16" t="n">
        <f aca="false">F13/2</f>
        <v>50</v>
      </c>
      <c r="F13" s="16" t="n">
        <v>100</v>
      </c>
      <c r="G13" s="15" t="s">
        <v>36</v>
      </c>
      <c r="H13" s="17" t="s">
        <v>25</v>
      </c>
      <c r="I13" s="18" t="s">
        <v>26</v>
      </c>
      <c r="J13" s="15" t="n">
        <v>2024</v>
      </c>
      <c r="K13" s="19" t="s">
        <v>27</v>
      </c>
      <c r="L13" s="15" t="s">
        <v>82</v>
      </c>
      <c r="M13" s="15" t="s">
        <v>33</v>
      </c>
      <c r="N13" s="17" t="s">
        <v>83</v>
      </c>
      <c r="O13" s="15"/>
      <c r="P13" s="15"/>
      <c r="Q13" s="21"/>
      <c r="R13" s="21"/>
      <c r="S13" s="21"/>
      <c r="T13" s="28"/>
      <c r="U13" s="24"/>
    </row>
    <row r="14" s="25" customFormat="true" ht="41.4" hidden="false" customHeight="false" outlineLevel="0" collapsed="false">
      <c r="A14" s="12" t="s">
        <v>84</v>
      </c>
      <c r="B14" s="26" t="s">
        <v>85</v>
      </c>
      <c r="C14" s="14" t="s">
        <v>86</v>
      </c>
      <c r="D14" s="15" t="n">
        <v>6</v>
      </c>
      <c r="E14" s="27" t="n">
        <f aca="false">F14/2</f>
        <v>8424</v>
      </c>
      <c r="F14" s="32" t="n">
        <v>16848</v>
      </c>
      <c r="G14" s="15" t="s">
        <v>24</v>
      </c>
      <c r="H14" s="17" t="s">
        <v>25</v>
      </c>
      <c r="I14" s="18" t="s">
        <v>26</v>
      </c>
      <c r="J14" s="15" t="n">
        <v>2024</v>
      </c>
      <c r="K14" s="19" t="s">
        <v>59</v>
      </c>
      <c r="L14" s="15" t="s">
        <v>28</v>
      </c>
      <c r="M14" s="15" t="s">
        <v>29</v>
      </c>
      <c r="N14" s="20" t="s">
        <v>87</v>
      </c>
      <c r="O14" s="15"/>
      <c r="P14" s="15"/>
      <c r="Q14" s="21"/>
      <c r="R14" s="21"/>
      <c r="S14" s="21"/>
      <c r="T14" s="31" t="n">
        <v>45882</v>
      </c>
      <c r="U14" s="24"/>
    </row>
    <row r="15" s="25" customFormat="true" ht="41.4" hidden="false" customHeight="false" outlineLevel="0" collapsed="false">
      <c r="A15" s="12" t="s">
        <v>88</v>
      </c>
      <c r="B15" s="13" t="s">
        <v>89</v>
      </c>
      <c r="C15" s="14" t="s">
        <v>90</v>
      </c>
      <c r="D15" s="15" t="n">
        <v>2</v>
      </c>
      <c r="E15" s="16" t="n">
        <f aca="false">F15/2</f>
        <v>4200</v>
      </c>
      <c r="F15" s="16" t="n">
        <f aca="false">3500*2*1.2</f>
        <v>8400</v>
      </c>
      <c r="G15" s="15" t="s">
        <v>36</v>
      </c>
      <c r="H15" s="17" t="s">
        <v>25</v>
      </c>
      <c r="I15" s="18" t="s">
        <v>26</v>
      </c>
      <c r="J15" s="15" t="n">
        <v>2018</v>
      </c>
      <c r="K15" s="19" t="s">
        <v>27</v>
      </c>
      <c r="L15" s="15" t="s">
        <v>28</v>
      </c>
      <c r="M15" s="15" t="s">
        <v>33</v>
      </c>
      <c r="N15" s="17" t="s">
        <v>91</v>
      </c>
      <c r="O15" s="15"/>
      <c r="P15" s="15"/>
      <c r="Q15" s="21" t="s">
        <v>78</v>
      </c>
      <c r="R15" s="21"/>
      <c r="S15" s="21"/>
      <c r="T15" s="28"/>
      <c r="U15" s="24"/>
    </row>
    <row r="16" s="25" customFormat="true" ht="41.4" hidden="false" customHeight="false" outlineLevel="0" collapsed="false">
      <c r="A16" s="12" t="s">
        <v>92</v>
      </c>
      <c r="B16" s="26"/>
      <c r="C16" s="14" t="s">
        <v>35</v>
      </c>
      <c r="D16" s="15" t="n">
        <v>4</v>
      </c>
      <c r="E16" s="27" t="n">
        <f aca="false">F16/2</f>
        <v>50</v>
      </c>
      <c r="F16" s="16" t="n">
        <v>100</v>
      </c>
      <c r="G16" s="15" t="s">
        <v>36</v>
      </c>
      <c r="H16" s="17" t="s">
        <v>25</v>
      </c>
      <c r="I16" s="18" t="s">
        <v>26</v>
      </c>
      <c r="J16" s="15" t="n">
        <v>2025</v>
      </c>
      <c r="K16" s="19" t="s">
        <v>37</v>
      </c>
      <c r="L16" s="15" t="s">
        <v>28</v>
      </c>
      <c r="M16" s="15"/>
      <c r="N16" s="17"/>
      <c r="O16" s="15"/>
      <c r="P16" s="15"/>
      <c r="Q16" s="21"/>
      <c r="R16" s="21"/>
      <c r="S16" s="21"/>
      <c r="T16" s="28"/>
      <c r="U16" s="24"/>
    </row>
    <row r="17" s="25" customFormat="true" ht="41.4" hidden="false" customHeight="false" outlineLevel="0" collapsed="false">
      <c r="A17" s="12" t="s">
        <v>93</v>
      </c>
      <c r="B17" s="13" t="s">
        <v>94</v>
      </c>
      <c r="C17" s="14" t="s">
        <v>95</v>
      </c>
      <c r="D17" s="15" t="n">
        <v>4</v>
      </c>
      <c r="E17" s="16" t="n">
        <f aca="false">F17/2</f>
        <v>6240</v>
      </c>
      <c r="F17" s="16" t="n">
        <f aca="false">4*2600*1.2</f>
        <v>12480</v>
      </c>
      <c r="G17" s="15" t="s">
        <v>36</v>
      </c>
      <c r="H17" s="17" t="s">
        <v>25</v>
      </c>
      <c r="I17" s="18" t="s">
        <v>26</v>
      </c>
      <c r="J17" s="15" t="n">
        <v>2014</v>
      </c>
      <c r="K17" s="19" t="s">
        <v>27</v>
      </c>
      <c r="L17" s="15" t="s">
        <v>28</v>
      </c>
      <c r="M17" s="15" t="s">
        <v>33</v>
      </c>
      <c r="N17" s="17" t="s">
        <v>96</v>
      </c>
      <c r="O17" s="15" t="s">
        <v>46</v>
      </c>
      <c r="P17" s="15"/>
      <c r="Q17" s="21" t="s">
        <v>97</v>
      </c>
      <c r="R17" s="21"/>
      <c r="S17" s="21"/>
      <c r="T17" s="31" t="n">
        <v>45880</v>
      </c>
      <c r="U17" s="24"/>
    </row>
    <row r="18" s="25" customFormat="true" ht="41.4" hidden="false" customHeight="false" outlineLevel="0" collapsed="false">
      <c r="A18" s="12" t="s">
        <v>98</v>
      </c>
      <c r="B18" s="13" t="s">
        <v>99</v>
      </c>
      <c r="C18" s="14" t="s">
        <v>100</v>
      </c>
      <c r="D18" s="15" t="n">
        <v>6</v>
      </c>
      <c r="E18" s="16" t="n">
        <f aca="false">F18/2</f>
        <v>180</v>
      </c>
      <c r="F18" s="16" t="n">
        <v>360</v>
      </c>
      <c r="G18" s="15" t="s">
        <v>36</v>
      </c>
      <c r="H18" s="17" t="s">
        <v>25</v>
      </c>
      <c r="I18" s="18" t="s">
        <v>26</v>
      </c>
      <c r="J18" s="15" t="n">
        <v>2018</v>
      </c>
      <c r="K18" s="19" t="s">
        <v>27</v>
      </c>
      <c r="L18" s="15" t="s">
        <v>28</v>
      </c>
      <c r="M18" s="15" t="s">
        <v>33</v>
      </c>
      <c r="N18" s="17"/>
      <c r="O18" s="15"/>
      <c r="P18" s="15"/>
      <c r="Q18" s="21"/>
      <c r="R18" s="21"/>
      <c r="S18" s="21"/>
      <c r="T18" s="28"/>
      <c r="U18" s="24"/>
    </row>
    <row r="19" s="25" customFormat="true" ht="41.4" hidden="false" customHeight="false" outlineLevel="0" collapsed="false">
      <c r="A19" s="12" t="s">
        <v>101</v>
      </c>
      <c r="B19" s="13"/>
      <c r="C19" s="14" t="s">
        <v>102</v>
      </c>
      <c r="D19" s="15" t="n">
        <v>156</v>
      </c>
      <c r="E19" s="16" t="n">
        <f aca="false">F19/2</f>
        <v>56925</v>
      </c>
      <c r="F19" s="16" t="n">
        <v>113850</v>
      </c>
      <c r="G19" s="15" t="s">
        <v>36</v>
      </c>
      <c r="H19" s="17" t="s">
        <v>25</v>
      </c>
      <c r="I19" s="18" t="s">
        <v>26</v>
      </c>
      <c r="J19" s="15" t="n">
        <v>1999</v>
      </c>
      <c r="K19" s="19" t="s">
        <v>27</v>
      </c>
      <c r="L19" s="15" t="s">
        <v>103</v>
      </c>
      <c r="M19" s="15" t="s">
        <v>29</v>
      </c>
      <c r="N19" s="17" t="s">
        <v>40</v>
      </c>
      <c r="O19" s="15"/>
      <c r="P19" s="15"/>
      <c r="Q19" s="21" t="s">
        <v>41</v>
      </c>
      <c r="R19" s="21"/>
      <c r="S19" s="21"/>
      <c r="T19" s="28"/>
      <c r="U19" s="24"/>
    </row>
    <row r="20" s="25" customFormat="true" ht="41.4" hidden="false" customHeight="false" outlineLevel="0" collapsed="false">
      <c r="A20" s="12" t="s">
        <v>104</v>
      </c>
      <c r="B20" s="13" t="s">
        <v>105</v>
      </c>
      <c r="C20" s="14" t="s">
        <v>90</v>
      </c>
      <c r="D20" s="15" t="n">
        <v>2</v>
      </c>
      <c r="E20" s="16" t="n">
        <f aca="false">F20/2</f>
        <v>4200</v>
      </c>
      <c r="F20" s="16" t="n">
        <f aca="false">3500*2*1.2</f>
        <v>8400</v>
      </c>
      <c r="G20" s="15" t="s">
        <v>36</v>
      </c>
      <c r="H20" s="17" t="s">
        <v>25</v>
      </c>
      <c r="I20" s="18" t="s">
        <v>26</v>
      </c>
      <c r="J20" s="15" t="n">
        <v>2018</v>
      </c>
      <c r="K20" s="19" t="s">
        <v>27</v>
      </c>
      <c r="L20" s="15" t="s">
        <v>28</v>
      </c>
      <c r="M20" s="15" t="s">
        <v>33</v>
      </c>
      <c r="N20" s="17" t="s">
        <v>91</v>
      </c>
      <c r="O20" s="15"/>
      <c r="P20" s="15"/>
      <c r="Q20" s="21" t="s">
        <v>78</v>
      </c>
      <c r="R20" s="21"/>
      <c r="S20" s="21"/>
      <c r="T20" s="28"/>
      <c r="U20" s="24"/>
    </row>
    <row r="21" s="25" customFormat="true" ht="41.4" hidden="false" customHeight="false" outlineLevel="0" collapsed="false">
      <c r="A21" s="12" t="s">
        <v>106</v>
      </c>
      <c r="B21" s="26"/>
      <c r="C21" s="14" t="s">
        <v>107</v>
      </c>
      <c r="D21" s="15" t="n">
        <v>2</v>
      </c>
      <c r="E21" s="27" t="n">
        <f aca="false">F21/2</f>
        <v>429</v>
      </c>
      <c r="F21" s="16" t="n">
        <v>858</v>
      </c>
      <c r="G21" s="15" t="s">
        <v>36</v>
      </c>
      <c r="H21" s="17" t="s">
        <v>25</v>
      </c>
      <c r="I21" s="18" t="s">
        <v>26</v>
      </c>
      <c r="J21" s="15" t="n">
        <v>2025</v>
      </c>
      <c r="K21" s="19" t="s">
        <v>108</v>
      </c>
      <c r="L21" s="15" t="s">
        <v>28</v>
      </c>
      <c r="M21" s="15" t="s">
        <v>33</v>
      </c>
      <c r="N21" s="17"/>
      <c r="O21" s="15"/>
      <c r="P21" s="15"/>
      <c r="Q21" s="21"/>
      <c r="R21" s="21"/>
      <c r="S21" s="21"/>
      <c r="T21" s="31" t="n">
        <v>45884</v>
      </c>
      <c r="U21" s="24"/>
    </row>
    <row r="22" s="25" customFormat="true" ht="41.4" hidden="false" customHeight="false" outlineLevel="0" collapsed="false">
      <c r="A22" s="12" t="s">
        <v>109</v>
      </c>
      <c r="B22" s="26"/>
      <c r="C22" s="14" t="s">
        <v>110</v>
      </c>
      <c r="D22" s="15" t="n">
        <v>4</v>
      </c>
      <c r="E22" s="16" t="n">
        <f aca="false">F22/2</f>
        <v>50</v>
      </c>
      <c r="F22" s="16" t="n">
        <v>100</v>
      </c>
      <c r="G22" s="15" t="s">
        <v>36</v>
      </c>
      <c r="H22" s="17" t="s">
        <v>25</v>
      </c>
      <c r="I22" s="18" t="s">
        <v>26</v>
      </c>
      <c r="J22" s="15" t="n">
        <v>2025</v>
      </c>
      <c r="K22" s="19" t="s">
        <v>111</v>
      </c>
      <c r="L22" s="15" t="s">
        <v>28</v>
      </c>
      <c r="M22" s="33" t="s">
        <v>112</v>
      </c>
      <c r="N22" s="17"/>
      <c r="O22" s="15" t="s">
        <v>46</v>
      </c>
      <c r="P22" s="15"/>
      <c r="Q22" s="21"/>
      <c r="R22" s="21"/>
      <c r="S22" s="21" t="s">
        <v>113</v>
      </c>
      <c r="T22" s="31" t="n">
        <v>45876</v>
      </c>
      <c r="U22" s="24"/>
    </row>
    <row r="23" s="25" customFormat="true" ht="41.4" hidden="false" customHeight="false" outlineLevel="0" collapsed="false">
      <c r="A23" s="12" t="s">
        <v>114</v>
      </c>
      <c r="B23" s="13" t="s">
        <v>115</v>
      </c>
      <c r="C23" s="14" t="s">
        <v>116</v>
      </c>
      <c r="D23" s="15" t="n">
        <v>4</v>
      </c>
      <c r="E23" s="16" t="n">
        <f aca="false">F23/2</f>
        <v>7440</v>
      </c>
      <c r="F23" s="16" t="n">
        <f aca="false">12400*1.2</f>
        <v>14880</v>
      </c>
      <c r="G23" s="15" t="s">
        <v>36</v>
      </c>
      <c r="H23" s="17" t="s">
        <v>25</v>
      </c>
      <c r="I23" s="18" t="s">
        <v>26</v>
      </c>
      <c r="J23" s="15" t="n">
        <v>2023</v>
      </c>
      <c r="K23" s="19" t="s">
        <v>117</v>
      </c>
      <c r="L23" s="15" t="s">
        <v>28</v>
      </c>
      <c r="M23" s="17" t="s">
        <v>112</v>
      </c>
      <c r="N23" s="20" t="s">
        <v>45</v>
      </c>
      <c r="O23" s="15"/>
      <c r="P23" s="15"/>
      <c r="Q23" s="21"/>
      <c r="R23" s="21"/>
      <c r="S23" s="21"/>
      <c r="T23" s="28"/>
      <c r="U23" s="34"/>
    </row>
    <row r="24" s="25" customFormat="true" ht="41.4" hidden="false" customHeight="false" outlineLevel="0" collapsed="false">
      <c r="A24" s="12" t="s">
        <v>118</v>
      </c>
      <c r="B24" s="26" t="s">
        <v>119</v>
      </c>
      <c r="C24" s="14" t="s">
        <v>64</v>
      </c>
      <c r="D24" s="15" t="n">
        <v>2</v>
      </c>
      <c r="E24" s="16" t="n">
        <f aca="false">F24/2</f>
        <v>540</v>
      </c>
      <c r="F24" s="16" t="n">
        <v>1080</v>
      </c>
      <c r="G24" s="15" t="s">
        <v>36</v>
      </c>
      <c r="H24" s="17" t="s">
        <v>25</v>
      </c>
      <c r="I24" s="18" t="s">
        <v>26</v>
      </c>
      <c r="J24" s="15" t="n">
        <v>2020</v>
      </c>
      <c r="K24" s="19" t="s">
        <v>65</v>
      </c>
      <c r="L24" s="15" t="s">
        <v>28</v>
      </c>
      <c r="M24" s="15" t="s">
        <v>33</v>
      </c>
      <c r="N24" s="17"/>
      <c r="O24" s="15"/>
      <c r="P24" s="15"/>
      <c r="Q24" s="21"/>
      <c r="R24" s="21"/>
      <c r="S24" s="21"/>
      <c r="T24" s="28"/>
      <c r="U24" s="34"/>
    </row>
    <row r="25" s="25" customFormat="true" ht="41.4" hidden="false" customHeight="false" outlineLevel="0" collapsed="false">
      <c r="A25" s="12" t="s">
        <v>120</v>
      </c>
      <c r="B25" s="13" t="s">
        <v>121</v>
      </c>
      <c r="C25" s="14" t="s">
        <v>122</v>
      </c>
      <c r="D25" s="15" t="n">
        <v>12</v>
      </c>
      <c r="E25" s="16" t="n">
        <v>23628</v>
      </c>
      <c r="F25" s="16" t="n">
        <v>39204</v>
      </c>
      <c r="G25" s="15" t="s">
        <v>36</v>
      </c>
      <c r="H25" s="17" t="s">
        <v>25</v>
      </c>
      <c r="I25" s="18" t="s">
        <v>26</v>
      </c>
      <c r="J25" s="15" t="n">
        <v>2017</v>
      </c>
      <c r="K25" s="19" t="s">
        <v>27</v>
      </c>
      <c r="L25" s="15" t="s">
        <v>28</v>
      </c>
      <c r="M25" s="15" t="s">
        <v>33</v>
      </c>
      <c r="N25" s="17" t="s">
        <v>123</v>
      </c>
      <c r="O25" s="15"/>
      <c r="P25" s="15"/>
      <c r="Q25" s="21" t="s">
        <v>124</v>
      </c>
      <c r="R25" s="21"/>
      <c r="S25" s="21"/>
      <c r="T25" s="28"/>
      <c r="U25" s="24"/>
    </row>
    <row r="26" s="25" customFormat="true" ht="41.4" hidden="false" customHeight="false" outlineLevel="0" collapsed="false">
      <c r="A26" s="12" t="s">
        <v>125</v>
      </c>
      <c r="B26" s="26"/>
      <c r="C26" s="14"/>
      <c r="D26" s="15" t="n">
        <v>4</v>
      </c>
      <c r="E26" s="16" t="n">
        <f aca="false">F26/2</f>
        <v>50</v>
      </c>
      <c r="F26" s="16" t="n">
        <v>100</v>
      </c>
      <c r="G26" s="15" t="s">
        <v>36</v>
      </c>
      <c r="H26" s="17" t="s">
        <v>25</v>
      </c>
      <c r="I26" s="18" t="s">
        <v>26</v>
      </c>
      <c r="J26" s="15" t="n">
        <v>2023</v>
      </c>
      <c r="K26" s="19" t="s">
        <v>27</v>
      </c>
      <c r="L26" s="15" t="s">
        <v>28</v>
      </c>
      <c r="M26" s="15" t="s">
        <v>29</v>
      </c>
      <c r="N26" s="20" t="s">
        <v>126</v>
      </c>
      <c r="O26" s="15"/>
      <c r="P26" s="15"/>
      <c r="Q26" s="21"/>
      <c r="R26" s="21"/>
      <c r="S26" s="21"/>
      <c r="T26" s="28"/>
      <c r="U26" s="34"/>
    </row>
    <row r="27" s="25" customFormat="true" ht="41.4" hidden="false" customHeight="false" outlineLevel="0" collapsed="false">
      <c r="A27" s="12" t="s">
        <v>127</v>
      </c>
      <c r="B27" s="13" t="s">
        <v>128</v>
      </c>
      <c r="C27" s="14" t="s">
        <v>122</v>
      </c>
      <c r="D27" s="15" t="n">
        <v>12</v>
      </c>
      <c r="E27" s="16" t="n">
        <v>23628</v>
      </c>
      <c r="F27" s="16" t="n">
        <v>39204</v>
      </c>
      <c r="G27" s="15" t="s">
        <v>36</v>
      </c>
      <c r="H27" s="17" t="s">
        <v>25</v>
      </c>
      <c r="I27" s="18" t="s">
        <v>26</v>
      </c>
      <c r="J27" s="15" t="n">
        <v>2017</v>
      </c>
      <c r="K27" s="19" t="s">
        <v>27</v>
      </c>
      <c r="L27" s="15" t="s">
        <v>28</v>
      </c>
      <c r="M27" s="15" t="s">
        <v>33</v>
      </c>
      <c r="N27" s="17" t="s">
        <v>96</v>
      </c>
      <c r="O27" s="15"/>
      <c r="P27" s="15"/>
      <c r="Q27" s="21"/>
      <c r="R27" s="21"/>
      <c r="S27" s="21"/>
      <c r="T27" s="28"/>
      <c r="U27" s="24"/>
    </row>
    <row r="28" s="25" customFormat="true" ht="41.4" hidden="false" customHeight="false" outlineLevel="0" collapsed="false">
      <c r="A28" s="12" t="s">
        <v>129</v>
      </c>
      <c r="B28" s="26"/>
      <c r="C28" s="14" t="s">
        <v>130</v>
      </c>
      <c r="D28" s="15" t="n">
        <v>6</v>
      </c>
      <c r="E28" s="16" t="n">
        <f aca="false">F28/2</f>
        <v>50</v>
      </c>
      <c r="F28" s="16" t="n">
        <v>100</v>
      </c>
      <c r="G28" s="15" t="s">
        <v>36</v>
      </c>
      <c r="H28" s="17" t="s">
        <v>25</v>
      </c>
      <c r="I28" s="18" t="s">
        <v>26</v>
      </c>
      <c r="J28" s="15" t="n">
        <v>2023</v>
      </c>
      <c r="K28" s="19" t="s">
        <v>27</v>
      </c>
      <c r="L28" s="15" t="s">
        <v>28</v>
      </c>
      <c r="M28" s="15" t="s">
        <v>33</v>
      </c>
      <c r="N28" s="17" t="s">
        <v>131</v>
      </c>
      <c r="O28" s="15"/>
      <c r="P28" s="15"/>
      <c r="Q28" s="21"/>
      <c r="R28" s="21"/>
      <c r="S28" s="21"/>
      <c r="T28" s="28"/>
      <c r="U28" s="24"/>
    </row>
    <row r="29" s="25" customFormat="true" ht="41.4" hidden="false" customHeight="false" outlineLevel="0" collapsed="false">
      <c r="A29" s="12" t="s">
        <v>132</v>
      </c>
      <c r="B29" s="26"/>
      <c r="C29" s="14" t="s">
        <v>110</v>
      </c>
      <c r="D29" s="15" t="n">
        <v>4</v>
      </c>
      <c r="E29" s="16" t="n">
        <f aca="false">F29/2</f>
        <v>50</v>
      </c>
      <c r="F29" s="16" t="n">
        <v>100</v>
      </c>
      <c r="G29" s="15" t="s">
        <v>36</v>
      </c>
      <c r="H29" s="17" t="s">
        <v>25</v>
      </c>
      <c r="I29" s="18" t="s">
        <v>26</v>
      </c>
      <c r="J29" s="15" t="n">
        <v>2025</v>
      </c>
      <c r="K29" s="19" t="s">
        <v>111</v>
      </c>
      <c r="L29" s="15" t="s">
        <v>28</v>
      </c>
      <c r="M29" s="33" t="s">
        <v>112</v>
      </c>
      <c r="N29" s="17" t="s">
        <v>72</v>
      </c>
      <c r="O29" s="15" t="s">
        <v>46</v>
      </c>
      <c r="P29" s="15"/>
      <c r="Q29" s="21"/>
      <c r="R29" s="21"/>
      <c r="S29" s="21" t="s">
        <v>113</v>
      </c>
      <c r="T29" s="31" t="n">
        <v>45876</v>
      </c>
      <c r="U29" s="24"/>
    </row>
    <row r="30" s="25" customFormat="true" ht="41.4" hidden="false" customHeight="false" outlineLevel="0" collapsed="false">
      <c r="A30" s="12" t="s">
        <v>133</v>
      </c>
      <c r="B30" s="26"/>
      <c r="C30" s="14" t="s">
        <v>134</v>
      </c>
      <c r="D30" s="15" t="n">
        <v>6</v>
      </c>
      <c r="E30" s="27" t="n">
        <f aca="false">F30/2</f>
        <v>9171</v>
      </c>
      <c r="F30" s="16" t="n">
        <f aca="false">CEILING(17142*1.07,1)</f>
        <v>18342</v>
      </c>
      <c r="G30" s="15" t="s">
        <v>36</v>
      </c>
      <c r="H30" s="17" t="s">
        <v>25</v>
      </c>
      <c r="I30" s="18" t="s">
        <v>26</v>
      </c>
      <c r="J30" s="15" t="n">
        <v>2025</v>
      </c>
      <c r="K30" s="19" t="s">
        <v>27</v>
      </c>
      <c r="L30" s="15" t="s">
        <v>28</v>
      </c>
      <c r="M30" s="15" t="s">
        <v>33</v>
      </c>
      <c r="N30" s="17"/>
      <c r="O30" s="15"/>
      <c r="P30" s="15"/>
      <c r="Q30" s="21"/>
      <c r="R30" s="21"/>
      <c r="S30" s="21"/>
      <c r="T30" s="28"/>
      <c r="U30" s="24"/>
    </row>
    <row r="31" s="25" customFormat="true" ht="41.4" hidden="false" customHeight="false" outlineLevel="0" collapsed="false">
      <c r="A31" s="12" t="s">
        <v>135</v>
      </c>
      <c r="B31" s="26"/>
      <c r="C31" s="14" t="s">
        <v>136</v>
      </c>
      <c r="D31" s="15" t="n">
        <v>4</v>
      </c>
      <c r="E31" s="27" t="n">
        <f aca="false">F31/2</f>
        <v>9828</v>
      </c>
      <c r="F31" s="16" t="n">
        <f aca="false">16380*1.2</f>
        <v>19656</v>
      </c>
      <c r="G31" s="15" t="s">
        <v>36</v>
      </c>
      <c r="H31" s="17" t="s">
        <v>25</v>
      </c>
      <c r="I31" s="18" t="s">
        <v>26</v>
      </c>
      <c r="J31" s="15" t="n">
        <v>2024</v>
      </c>
      <c r="K31" s="19" t="s">
        <v>27</v>
      </c>
      <c r="L31" s="15" t="s">
        <v>28</v>
      </c>
      <c r="M31" s="15" t="s">
        <v>33</v>
      </c>
      <c r="N31" s="17"/>
      <c r="O31" s="15"/>
      <c r="P31" s="15"/>
      <c r="Q31" s="21"/>
      <c r="R31" s="21"/>
      <c r="S31" s="21"/>
      <c r="T31" s="28"/>
      <c r="U31" s="34"/>
    </row>
    <row r="32" s="25" customFormat="true" ht="41.4" hidden="false" customHeight="false" outlineLevel="0" collapsed="false">
      <c r="A32" s="12" t="s">
        <v>137</v>
      </c>
      <c r="B32" s="26"/>
      <c r="C32" s="14" t="s">
        <v>138</v>
      </c>
      <c r="D32" s="15" t="n">
        <v>4</v>
      </c>
      <c r="E32" s="16" t="n">
        <f aca="false">F32/2</f>
        <v>18000</v>
      </c>
      <c r="F32" s="16" t="n">
        <f aca="false">30000*1.2</f>
        <v>36000</v>
      </c>
      <c r="G32" s="15" t="s">
        <v>36</v>
      </c>
      <c r="H32" s="17" t="s">
        <v>25</v>
      </c>
      <c r="I32" s="18" t="s">
        <v>26</v>
      </c>
      <c r="J32" s="15"/>
      <c r="K32" s="19" t="s">
        <v>27</v>
      </c>
      <c r="L32" s="15" t="s">
        <v>28</v>
      </c>
      <c r="M32" s="15" t="s">
        <v>33</v>
      </c>
      <c r="N32" s="17" t="s">
        <v>139</v>
      </c>
      <c r="O32" s="15"/>
      <c r="P32" s="15"/>
      <c r="Q32" s="21"/>
      <c r="R32" s="21"/>
      <c r="S32" s="21"/>
      <c r="T32" s="31" t="n">
        <v>45899</v>
      </c>
      <c r="U32" s="24"/>
    </row>
    <row r="33" s="25" customFormat="true" ht="41.4" hidden="false" customHeight="false" outlineLevel="0" collapsed="false">
      <c r="A33" s="12" t="s">
        <v>140</v>
      </c>
      <c r="B33" s="26"/>
      <c r="C33" s="14" t="s">
        <v>81</v>
      </c>
      <c r="D33" s="15" t="n">
        <v>4</v>
      </c>
      <c r="E33" s="16" t="n">
        <f aca="false">F33/2</f>
        <v>50</v>
      </c>
      <c r="F33" s="16" t="n">
        <v>100</v>
      </c>
      <c r="G33" s="15" t="s">
        <v>36</v>
      </c>
      <c r="H33" s="17" t="s">
        <v>25</v>
      </c>
      <c r="I33" s="18" t="s">
        <v>26</v>
      </c>
      <c r="J33" s="15" t="n">
        <v>2024</v>
      </c>
      <c r="K33" s="19" t="s">
        <v>27</v>
      </c>
      <c r="L33" s="15" t="s">
        <v>82</v>
      </c>
      <c r="M33" s="15" t="s">
        <v>33</v>
      </c>
      <c r="N33" s="17" t="s">
        <v>83</v>
      </c>
      <c r="O33" s="15"/>
      <c r="P33" s="15"/>
      <c r="Q33" s="21"/>
      <c r="R33" s="21"/>
      <c r="S33" s="21"/>
      <c r="T33" s="28"/>
      <c r="U33" s="24"/>
    </row>
    <row r="34" s="25" customFormat="true" ht="41.4" hidden="false" customHeight="false" outlineLevel="0" collapsed="false">
      <c r="A34" s="12" t="s">
        <v>141</v>
      </c>
      <c r="B34" s="26"/>
      <c r="C34" s="14" t="s">
        <v>142</v>
      </c>
      <c r="D34" s="15" t="n">
        <v>4</v>
      </c>
      <c r="E34" s="27" t="n">
        <f aca="false">F34/2</f>
        <v>3900</v>
      </c>
      <c r="F34" s="16" t="n">
        <v>7800</v>
      </c>
      <c r="G34" s="15" t="s">
        <v>36</v>
      </c>
      <c r="H34" s="17" t="s">
        <v>25</v>
      </c>
      <c r="I34" s="18" t="s">
        <v>26</v>
      </c>
      <c r="J34" s="15" t="n">
        <v>2025</v>
      </c>
      <c r="K34" s="19" t="s">
        <v>27</v>
      </c>
      <c r="L34" s="15" t="s">
        <v>28</v>
      </c>
      <c r="M34" s="15" t="s">
        <v>33</v>
      </c>
      <c r="N34" s="17"/>
      <c r="O34" s="15"/>
      <c r="P34" s="15"/>
      <c r="Q34" s="21"/>
      <c r="R34" s="21"/>
      <c r="S34" s="21"/>
      <c r="T34" s="28"/>
      <c r="U34" s="24"/>
    </row>
    <row r="35" s="25" customFormat="true" ht="41.4" hidden="false" customHeight="false" outlineLevel="0" collapsed="false">
      <c r="A35" s="12" t="s">
        <v>143</v>
      </c>
      <c r="B35" s="26"/>
      <c r="C35" s="14" t="s">
        <v>144</v>
      </c>
      <c r="D35" s="15" t="n">
        <v>4</v>
      </c>
      <c r="E35" s="16" t="n">
        <f aca="false">F35/2</f>
        <v>50</v>
      </c>
      <c r="F35" s="16" t="n">
        <v>100</v>
      </c>
      <c r="G35" s="15" t="s">
        <v>36</v>
      </c>
      <c r="H35" s="17" t="s">
        <v>25</v>
      </c>
      <c r="I35" s="18" t="s">
        <v>26</v>
      </c>
      <c r="J35" s="15" t="n">
        <v>2025</v>
      </c>
      <c r="K35" s="19" t="s">
        <v>145</v>
      </c>
      <c r="L35" s="15" t="s">
        <v>28</v>
      </c>
      <c r="M35" s="15" t="s">
        <v>33</v>
      </c>
      <c r="N35" s="17"/>
      <c r="O35" s="15"/>
      <c r="P35" s="15"/>
      <c r="Q35" s="21"/>
      <c r="R35" s="21"/>
      <c r="S35" s="21" t="s">
        <v>113</v>
      </c>
      <c r="T35" s="31" t="n">
        <v>45880</v>
      </c>
      <c r="U35" s="24"/>
    </row>
    <row r="36" s="25" customFormat="true" ht="41.4" hidden="false" customHeight="false" outlineLevel="0" collapsed="false">
      <c r="A36" s="12" t="s">
        <v>146</v>
      </c>
      <c r="B36" s="13" t="s">
        <v>147</v>
      </c>
      <c r="C36" s="14" t="s">
        <v>148</v>
      </c>
      <c r="D36" s="15" t="n">
        <v>10</v>
      </c>
      <c r="E36" s="16" t="n">
        <f aca="false">F36/2</f>
        <v>4368</v>
      </c>
      <c r="F36" s="35" t="n">
        <f aca="false">CEILING(7280*1.2,1)</f>
        <v>8736</v>
      </c>
      <c r="G36" s="15" t="s">
        <v>36</v>
      </c>
      <c r="H36" s="17" t="s">
        <v>25</v>
      </c>
      <c r="I36" s="18" t="s">
        <v>26</v>
      </c>
      <c r="J36" s="15" t="n">
        <v>2020</v>
      </c>
      <c r="K36" s="19" t="s">
        <v>27</v>
      </c>
      <c r="L36" s="15" t="s">
        <v>28</v>
      </c>
      <c r="M36" s="15" t="s">
        <v>33</v>
      </c>
      <c r="N36" s="17" t="s">
        <v>83</v>
      </c>
      <c r="O36" s="15"/>
      <c r="P36" s="15"/>
      <c r="Q36" s="21"/>
      <c r="R36" s="21"/>
      <c r="S36" s="21"/>
      <c r="T36" s="31" t="n">
        <v>45882</v>
      </c>
      <c r="U36" s="34"/>
    </row>
    <row r="37" s="25" customFormat="true" ht="41.4" hidden="false" customHeight="false" outlineLevel="0" collapsed="false">
      <c r="A37" s="12" t="s">
        <v>149</v>
      </c>
      <c r="B37" s="13" t="s">
        <v>150</v>
      </c>
      <c r="C37" s="14" t="s">
        <v>90</v>
      </c>
      <c r="D37" s="15" t="n">
        <v>2</v>
      </c>
      <c r="E37" s="16" t="n">
        <f aca="false">F37/2</f>
        <v>4200</v>
      </c>
      <c r="F37" s="16" t="n">
        <f aca="false">3500*2*1.2</f>
        <v>8400</v>
      </c>
      <c r="G37" s="15" t="s">
        <v>36</v>
      </c>
      <c r="H37" s="17" t="s">
        <v>25</v>
      </c>
      <c r="I37" s="18" t="s">
        <v>26</v>
      </c>
      <c r="J37" s="15" t="n">
        <v>2018</v>
      </c>
      <c r="K37" s="19" t="s">
        <v>27</v>
      </c>
      <c r="L37" s="15" t="s">
        <v>28</v>
      </c>
      <c r="M37" s="15" t="s">
        <v>33</v>
      </c>
      <c r="N37" s="17" t="s">
        <v>91</v>
      </c>
      <c r="O37" s="15"/>
      <c r="P37" s="15"/>
      <c r="Q37" s="21" t="s">
        <v>78</v>
      </c>
      <c r="R37" s="21"/>
      <c r="S37" s="21"/>
      <c r="T37" s="28"/>
      <c r="U37" s="24"/>
    </row>
    <row r="38" s="25" customFormat="true" ht="41.4" hidden="false" customHeight="false" outlineLevel="0" collapsed="false">
      <c r="A38" s="12" t="s">
        <v>151</v>
      </c>
      <c r="B38" s="26"/>
      <c r="C38" s="14" t="s">
        <v>152</v>
      </c>
      <c r="D38" s="15" t="n">
        <v>4</v>
      </c>
      <c r="E38" s="16" t="n">
        <f aca="false">F38/2</f>
        <v>50</v>
      </c>
      <c r="F38" s="16" t="n">
        <v>100</v>
      </c>
      <c r="G38" s="15" t="s">
        <v>36</v>
      </c>
      <c r="H38" s="17" t="s">
        <v>25</v>
      </c>
      <c r="I38" s="18" t="s">
        <v>26</v>
      </c>
      <c r="J38" s="15" t="n">
        <v>2023</v>
      </c>
      <c r="K38" s="19" t="s">
        <v>27</v>
      </c>
      <c r="L38" s="15" t="s">
        <v>28</v>
      </c>
      <c r="M38" s="15" t="s">
        <v>29</v>
      </c>
      <c r="N38" s="17" t="s">
        <v>153</v>
      </c>
      <c r="O38" s="15"/>
      <c r="P38" s="15"/>
      <c r="Q38" s="21"/>
      <c r="R38" s="21"/>
      <c r="S38" s="21"/>
      <c r="T38" s="28"/>
      <c r="U38" s="24"/>
    </row>
    <row r="39" s="25" customFormat="true" ht="41.4" hidden="false" customHeight="false" outlineLevel="0" collapsed="false">
      <c r="A39" s="36" t="s">
        <v>154</v>
      </c>
      <c r="B39" s="26"/>
      <c r="C39" s="14" t="s">
        <v>155</v>
      </c>
      <c r="D39" s="15" t="n">
        <v>12</v>
      </c>
      <c r="E39" s="16" t="n">
        <f aca="false">F39/2</f>
        <v>8100</v>
      </c>
      <c r="F39" s="16" t="n">
        <f aca="false">16200</f>
        <v>16200</v>
      </c>
      <c r="G39" s="15" t="s">
        <v>36</v>
      </c>
      <c r="H39" s="17" t="s">
        <v>25</v>
      </c>
      <c r="I39" s="18" t="s">
        <v>26</v>
      </c>
      <c r="J39" s="15" t="n">
        <v>2023</v>
      </c>
      <c r="K39" s="19" t="s">
        <v>65</v>
      </c>
      <c r="L39" s="15" t="s">
        <v>28</v>
      </c>
      <c r="M39" s="15" t="s">
        <v>29</v>
      </c>
      <c r="N39" s="17" t="s">
        <v>153</v>
      </c>
      <c r="O39" s="15"/>
      <c r="P39" s="15"/>
      <c r="Q39" s="21"/>
      <c r="R39" s="21"/>
      <c r="S39" s="21"/>
      <c r="T39" s="28"/>
      <c r="U39" s="24"/>
    </row>
    <row r="40" s="25" customFormat="true" ht="41.4" hidden="false" customHeight="false" outlineLevel="0" collapsed="false">
      <c r="A40" s="36" t="s">
        <v>156</v>
      </c>
      <c r="B40" s="26"/>
      <c r="C40" s="14" t="s">
        <v>157</v>
      </c>
      <c r="D40" s="15" t="n">
        <v>4</v>
      </c>
      <c r="E40" s="27" t="n">
        <f aca="false">F40/2</f>
        <v>600</v>
      </c>
      <c r="F40" s="16" t="n">
        <v>1200</v>
      </c>
      <c r="G40" s="15" t="s">
        <v>36</v>
      </c>
      <c r="H40" s="17" t="s">
        <v>25</v>
      </c>
      <c r="I40" s="18" t="s">
        <v>26</v>
      </c>
      <c r="J40" s="15" t="n">
        <v>2025</v>
      </c>
      <c r="K40" s="19" t="s">
        <v>27</v>
      </c>
      <c r="L40" s="15" t="s">
        <v>28</v>
      </c>
      <c r="M40" s="15" t="s">
        <v>33</v>
      </c>
      <c r="N40" s="17"/>
      <c r="O40" s="15"/>
      <c r="P40" s="15"/>
      <c r="Q40" s="21"/>
      <c r="R40" s="21"/>
      <c r="S40" s="21"/>
      <c r="T40" s="28"/>
      <c r="U40" s="24"/>
    </row>
    <row r="41" s="25" customFormat="true" ht="41.4" hidden="false" customHeight="false" outlineLevel="0" collapsed="false">
      <c r="A41" s="36" t="s">
        <v>158</v>
      </c>
      <c r="B41" s="13" t="s">
        <v>159</v>
      </c>
      <c r="C41" s="14" t="s">
        <v>64</v>
      </c>
      <c r="D41" s="15" t="n">
        <v>2</v>
      </c>
      <c r="E41" s="16" t="n">
        <f aca="false">F41/2</f>
        <v>500</v>
      </c>
      <c r="F41" s="16" t="n">
        <v>1000</v>
      </c>
      <c r="G41" s="15" t="s">
        <v>36</v>
      </c>
      <c r="H41" s="17" t="s">
        <v>25</v>
      </c>
      <c r="I41" s="18" t="s">
        <v>26</v>
      </c>
      <c r="J41" s="15" t="n">
        <v>2016</v>
      </c>
      <c r="K41" s="19" t="s">
        <v>65</v>
      </c>
      <c r="L41" s="15" t="s">
        <v>28</v>
      </c>
      <c r="M41" s="15" t="s">
        <v>33</v>
      </c>
      <c r="N41" s="17" t="s">
        <v>160</v>
      </c>
      <c r="O41" s="15" t="s">
        <v>67</v>
      </c>
      <c r="P41" s="15"/>
      <c r="Q41" s="21" t="s">
        <v>78</v>
      </c>
      <c r="R41" s="21"/>
      <c r="S41" s="21"/>
      <c r="T41" s="28"/>
      <c r="U41" s="24"/>
    </row>
    <row r="42" s="25" customFormat="true" ht="41.4" hidden="false" customHeight="false" outlineLevel="0" collapsed="false">
      <c r="A42" s="36" t="s">
        <v>161</v>
      </c>
      <c r="B42" s="26"/>
      <c r="C42" s="14" t="s">
        <v>155</v>
      </c>
      <c r="D42" s="15" t="n">
        <v>12</v>
      </c>
      <c r="E42" s="16" t="n">
        <f aca="false">F42/2</f>
        <v>8100</v>
      </c>
      <c r="F42" s="16" t="n">
        <f aca="false">16200</f>
        <v>16200</v>
      </c>
      <c r="G42" s="15" t="s">
        <v>36</v>
      </c>
      <c r="H42" s="17" t="s">
        <v>25</v>
      </c>
      <c r="I42" s="18" t="s">
        <v>26</v>
      </c>
      <c r="J42" s="15" t="n">
        <v>2023</v>
      </c>
      <c r="K42" s="19" t="s">
        <v>65</v>
      </c>
      <c r="L42" s="15" t="s">
        <v>28</v>
      </c>
      <c r="M42" s="15" t="s">
        <v>29</v>
      </c>
      <c r="N42" s="17" t="s">
        <v>153</v>
      </c>
      <c r="O42" s="15"/>
      <c r="P42" s="15"/>
      <c r="Q42" s="21"/>
      <c r="R42" s="21"/>
      <c r="S42" s="21"/>
      <c r="T42" s="28"/>
      <c r="U42" s="24"/>
    </row>
    <row r="43" s="25" customFormat="true" ht="41.4" hidden="false" customHeight="false" outlineLevel="0" collapsed="false">
      <c r="A43" s="36" t="s">
        <v>162</v>
      </c>
      <c r="B43" s="13" t="s">
        <v>163</v>
      </c>
      <c r="C43" s="14" t="s">
        <v>122</v>
      </c>
      <c r="D43" s="15" t="n">
        <v>12</v>
      </c>
      <c r="E43" s="16" t="n">
        <v>23628</v>
      </c>
      <c r="F43" s="16" t="n">
        <v>39204</v>
      </c>
      <c r="G43" s="15" t="s">
        <v>36</v>
      </c>
      <c r="H43" s="17" t="s">
        <v>25</v>
      </c>
      <c r="I43" s="18" t="s">
        <v>26</v>
      </c>
      <c r="J43" s="15" t="n">
        <v>2017</v>
      </c>
      <c r="K43" s="19" t="s">
        <v>27</v>
      </c>
      <c r="L43" s="15" t="s">
        <v>28</v>
      </c>
      <c r="M43" s="15" t="s">
        <v>33</v>
      </c>
      <c r="N43" s="17" t="s">
        <v>164</v>
      </c>
      <c r="O43" s="15"/>
      <c r="P43" s="15"/>
      <c r="Q43" s="21"/>
      <c r="R43" s="21"/>
      <c r="S43" s="21"/>
      <c r="T43" s="28"/>
      <c r="U43" s="24"/>
    </row>
    <row r="44" s="25" customFormat="true" ht="41.4" hidden="false" customHeight="false" outlineLevel="0" collapsed="false">
      <c r="A44" s="36" t="s">
        <v>165</v>
      </c>
      <c r="B44" s="13" t="s">
        <v>166</v>
      </c>
      <c r="C44" s="14"/>
      <c r="D44" s="15" t="n">
        <v>4</v>
      </c>
      <c r="E44" s="16" t="n">
        <f aca="false">F44/2</f>
        <v>1250</v>
      </c>
      <c r="F44" s="16" t="n">
        <v>2500</v>
      </c>
      <c r="G44" s="15" t="s">
        <v>36</v>
      </c>
      <c r="H44" s="17" t="s">
        <v>25</v>
      </c>
      <c r="I44" s="18" t="s">
        <v>26</v>
      </c>
      <c r="J44" s="15"/>
      <c r="K44" s="19" t="s">
        <v>27</v>
      </c>
      <c r="L44" s="15" t="s">
        <v>28</v>
      </c>
      <c r="M44" s="15" t="s">
        <v>33</v>
      </c>
      <c r="N44" s="17" t="s">
        <v>167</v>
      </c>
      <c r="O44" s="15"/>
      <c r="P44" s="15"/>
      <c r="Q44" s="21" t="s">
        <v>168</v>
      </c>
      <c r="R44" s="21"/>
      <c r="S44" s="21"/>
      <c r="T44" s="28"/>
      <c r="U44" s="24"/>
    </row>
    <row r="45" s="25" customFormat="true" ht="41.4" hidden="false" customHeight="false" outlineLevel="0" collapsed="false">
      <c r="A45" s="36" t="s">
        <v>169</v>
      </c>
      <c r="B45" s="13" t="s">
        <v>170</v>
      </c>
      <c r="C45" s="14" t="s">
        <v>171</v>
      </c>
      <c r="D45" s="15" t="n">
        <v>12</v>
      </c>
      <c r="E45" s="16" t="n">
        <f aca="false">F45/2</f>
        <v>2484</v>
      </c>
      <c r="F45" s="16" t="n">
        <v>4968</v>
      </c>
      <c r="G45" s="15" t="s">
        <v>36</v>
      </c>
      <c r="H45" s="17" t="s">
        <v>25</v>
      </c>
      <c r="I45" s="18" t="s">
        <v>26</v>
      </c>
      <c r="J45" s="15" t="n">
        <v>2014</v>
      </c>
      <c r="K45" s="19" t="s">
        <v>27</v>
      </c>
      <c r="L45" s="15" t="s">
        <v>28</v>
      </c>
      <c r="M45" s="15" t="s">
        <v>33</v>
      </c>
      <c r="N45" s="17" t="s">
        <v>96</v>
      </c>
      <c r="O45" s="15"/>
      <c r="P45" s="15"/>
      <c r="Q45" s="21" t="s">
        <v>97</v>
      </c>
      <c r="R45" s="21"/>
      <c r="S45" s="21"/>
      <c r="T45" s="28"/>
      <c r="U45" s="24"/>
    </row>
    <row r="46" s="25" customFormat="true" ht="41.4" hidden="false" customHeight="false" outlineLevel="0" collapsed="false">
      <c r="A46" s="36" t="s">
        <v>172</v>
      </c>
      <c r="B46" s="13" t="s">
        <v>173</v>
      </c>
      <c r="C46" s="14" t="s">
        <v>174</v>
      </c>
      <c r="D46" s="15" t="n">
        <v>4</v>
      </c>
      <c r="E46" s="16" t="n">
        <f aca="false">F46/2</f>
        <v>925</v>
      </c>
      <c r="F46" s="16" t="n">
        <v>1850</v>
      </c>
      <c r="G46" s="15" t="s">
        <v>36</v>
      </c>
      <c r="H46" s="17" t="s">
        <v>25</v>
      </c>
      <c r="I46" s="18" t="s">
        <v>26</v>
      </c>
      <c r="J46" s="15" t="n">
        <v>2015</v>
      </c>
      <c r="K46" s="19" t="s">
        <v>52</v>
      </c>
      <c r="L46" s="15" t="s">
        <v>28</v>
      </c>
      <c r="M46" s="15" t="s">
        <v>33</v>
      </c>
      <c r="N46" s="17" t="s">
        <v>175</v>
      </c>
      <c r="O46" s="15"/>
      <c r="P46" s="15"/>
      <c r="Q46" s="21" t="s">
        <v>78</v>
      </c>
      <c r="R46" s="21"/>
      <c r="S46" s="21"/>
      <c r="T46" s="28"/>
      <c r="U46" s="24"/>
    </row>
    <row r="47" s="25" customFormat="true" ht="41.4" hidden="false" customHeight="false" outlineLevel="0" collapsed="false">
      <c r="A47" s="36" t="s">
        <v>176</v>
      </c>
      <c r="B47" s="26"/>
      <c r="C47" s="14" t="s">
        <v>144</v>
      </c>
      <c r="D47" s="15" t="n">
        <v>4</v>
      </c>
      <c r="E47" s="16" t="n">
        <f aca="false">F47/2</f>
        <v>50</v>
      </c>
      <c r="F47" s="16" t="n">
        <v>100</v>
      </c>
      <c r="G47" s="15" t="s">
        <v>36</v>
      </c>
      <c r="H47" s="17" t="s">
        <v>25</v>
      </c>
      <c r="I47" s="18" t="s">
        <v>26</v>
      </c>
      <c r="J47" s="15" t="n">
        <v>2025</v>
      </c>
      <c r="K47" s="19" t="s">
        <v>145</v>
      </c>
      <c r="L47" s="15" t="s">
        <v>28</v>
      </c>
      <c r="M47" s="15" t="s">
        <v>33</v>
      </c>
      <c r="N47" s="17"/>
      <c r="O47" s="15"/>
      <c r="P47" s="15"/>
      <c r="Q47" s="21"/>
      <c r="R47" s="21"/>
      <c r="S47" s="21" t="s">
        <v>113</v>
      </c>
      <c r="T47" s="31" t="n">
        <v>45880</v>
      </c>
      <c r="U47" s="24"/>
    </row>
    <row r="48" s="25" customFormat="true" ht="41.4" hidden="false" customHeight="false" outlineLevel="0" collapsed="false">
      <c r="A48" s="36" t="s">
        <v>177</v>
      </c>
      <c r="B48" s="13" t="s">
        <v>178</v>
      </c>
      <c r="C48" s="14" t="s">
        <v>179</v>
      </c>
      <c r="D48" s="15" t="n">
        <v>4</v>
      </c>
      <c r="E48" s="16" t="n">
        <f aca="false">F48/2</f>
        <v>4800</v>
      </c>
      <c r="F48" s="16" t="n">
        <f aca="false">8000*1.2</f>
        <v>9600</v>
      </c>
      <c r="G48" s="15" t="s">
        <v>36</v>
      </c>
      <c r="H48" s="17" t="s">
        <v>25</v>
      </c>
      <c r="I48" s="18" t="s">
        <v>26</v>
      </c>
      <c r="J48" s="15" t="n">
        <v>2018</v>
      </c>
      <c r="K48" s="19" t="s">
        <v>27</v>
      </c>
      <c r="L48" s="15" t="s">
        <v>28</v>
      </c>
      <c r="M48" s="15" t="s">
        <v>33</v>
      </c>
      <c r="N48" s="17" t="s">
        <v>53</v>
      </c>
      <c r="O48" s="15"/>
      <c r="P48" s="15"/>
      <c r="Q48" s="21" t="s">
        <v>78</v>
      </c>
      <c r="R48" s="21"/>
      <c r="S48" s="21"/>
      <c r="T48" s="28"/>
      <c r="U48" s="34"/>
    </row>
    <row r="49" s="25" customFormat="true" ht="41.4" hidden="false" customHeight="false" outlineLevel="0" collapsed="false">
      <c r="A49" s="36" t="s">
        <v>180</v>
      </c>
      <c r="B49" s="13" t="s">
        <v>181</v>
      </c>
      <c r="C49" s="14" t="s">
        <v>182</v>
      </c>
      <c r="D49" s="15" t="n">
        <v>4</v>
      </c>
      <c r="E49" s="16" t="n">
        <v>800</v>
      </c>
      <c r="F49" s="16" t="n">
        <v>1600</v>
      </c>
      <c r="G49" s="15" t="s">
        <v>36</v>
      </c>
      <c r="H49" s="17" t="s">
        <v>25</v>
      </c>
      <c r="I49" s="18" t="s">
        <v>26</v>
      </c>
      <c r="J49" s="15" t="n">
        <v>2017</v>
      </c>
      <c r="K49" s="19" t="s">
        <v>27</v>
      </c>
      <c r="L49" s="15" t="s">
        <v>28</v>
      </c>
      <c r="M49" s="15" t="s">
        <v>33</v>
      </c>
      <c r="N49" s="17" t="s">
        <v>160</v>
      </c>
      <c r="O49" s="15" t="s">
        <v>46</v>
      </c>
      <c r="P49" s="15"/>
      <c r="Q49" s="21" t="s">
        <v>78</v>
      </c>
      <c r="R49" s="21"/>
      <c r="S49" s="21"/>
      <c r="T49" s="28"/>
      <c r="U49" s="24"/>
    </row>
    <row r="50" s="25" customFormat="true" ht="57" hidden="false" customHeight="false" outlineLevel="0" collapsed="false">
      <c r="A50" s="36" t="s">
        <v>183</v>
      </c>
      <c r="B50" s="13" t="n">
        <v>14704</v>
      </c>
      <c r="C50" s="14"/>
      <c r="D50" s="15" t="n">
        <v>4</v>
      </c>
      <c r="E50" s="16" t="n">
        <f aca="false">F50/2</f>
        <v>950</v>
      </c>
      <c r="F50" s="16" t="n">
        <v>1900</v>
      </c>
      <c r="G50" s="15" t="s">
        <v>24</v>
      </c>
      <c r="H50" s="17" t="s">
        <v>25</v>
      </c>
      <c r="I50" s="18" t="s">
        <v>26</v>
      </c>
      <c r="J50" s="15" t="n">
        <v>2003</v>
      </c>
      <c r="K50" s="19" t="s">
        <v>27</v>
      </c>
      <c r="L50" s="15" t="s">
        <v>28</v>
      </c>
      <c r="M50" s="15" t="s">
        <v>29</v>
      </c>
      <c r="N50" s="17" t="s">
        <v>184</v>
      </c>
      <c r="O50" s="15"/>
      <c r="P50" s="15"/>
      <c r="Q50" s="21" t="s">
        <v>47</v>
      </c>
      <c r="R50" s="21"/>
      <c r="S50" s="21"/>
      <c r="T50" s="28"/>
      <c r="U50" s="24" t="s">
        <v>185</v>
      </c>
    </row>
    <row r="51" s="25" customFormat="true" ht="45.6" hidden="false" customHeight="false" outlineLevel="0" collapsed="false">
      <c r="A51" s="36" t="s">
        <v>186</v>
      </c>
      <c r="B51" s="13" t="s">
        <v>187</v>
      </c>
      <c r="C51" s="14" t="s">
        <v>188</v>
      </c>
      <c r="D51" s="15" t="n">
        <v>6</v>
      </c>
      <c r="E51" s="16" t="n">
        <f aca="false">F51/2</f>
        <v>26676</v>
      </c>
      <c r="F51" s="16" t="n">
        <f aca="false">44460*1.2</f>
        <v>53352</v>
      </c>
      <c r="G51" s="15" t="s">
        <v>36</v>
      </c>
      <c r="H51" s="17" t="s">
        <v>25</v>
      </c>
      <c r="I51" s="18" t="s">
        <v>26</v>
      </c>
      <c r="J51" s="15" t="n">
        <v>2021</v>
      </c>
      <c r="K51" s="19" t="s">
        <v>27</v>
      </c>
      <c r="L51" s="15" t="s">
        <v>28</v>
      </c>
      <c r="M51" s="15" t="s">
        <v>29</v>
      </c>
      <c r="N51" s="20"/>
      <c r="O51" s="15"/>
      <c r="P51" s="15"/>
      <c r="Q51" s="21"/>
      <c r="R51" s="21"/>
      <c r="S51" s="21"/>
      <c r="T51" s="28"/>
      <c r="U51" s="24" t="s">
        <v>189</v>
      </c>
    </row>
    <row r="52" s="25" customFormat="true" ht="41.4" hidden="false" customHeight="false" outlineLevel="0" collapsed="false">
      <c r="A52" s="36" t="s">
        <v>190</v>
      </c>
      <c r="B52" s="26" t="s">
        <v>191</v>
      </c>
      <c r="C52" s="14" t="s">
        <v>192</v>
      </c>
      <c r="D52" s="15" t="n">
        <v>4</v>
      </c>
      <c r="E52" s="16" t="n">
        <f aca="false">F52/2</f>
        <v>900</v>
      </c>
      <c r="F52" s="16" t="n">
        <v>1800</v>
      </c>
      <c r="G52" s="15" t="s">
        <v>36</v>
      </c>
      <c r="H52" s="17" t="s">
        <v>25</v>
      </c>
      <c r="I52" s="18" t="s">
        <v>26</v>
      </c>
      <c r="J52" s="15" t="n">
        <v>2017</v>
      </c>
      <c r="K52" s="19" t="s">
        <v>27</v>
      </c>
      <c r="L52" s="15" t="s">
        <v>28</v>
      </c>
      <c r="M52" s="15" t="s">
        <v>33</v>
      </c>
      <c r="N52" s="17" t="s">
        <v>160</v>
      </c>
      <c r="O52" s="15"/>
      <c r="P52" s="15"/>
      <c r="Q52" s="21"/>
      <c r="R52" s="21"/>
      <c r="S52" s="21"/>
      <c r="T52" s="28"/>
      <c r="U52" s="24"/>
    </row>
    <row r="53" s="25" customFormat="true" ht="41.4" hidden="false" customHeight="false" outlineLevel="0" collapsed="false">
      <c r="A53" s="36" t="s">
        <v>193</v>
      </c>
      <c r="B53" s="26"/>
      <c r="C53" s="14" t="s">
        <v>152</v>
      </c>
      <c r="D53" s="15" t="n">
        <v>4</v>
      </c>
      <c r="E53" s="16" t="n">
        <f aca="false">F53/2</f>
        <v>50</v>
      </c>
      <c r="F53" s="16" t="n">
        <v>100</v>
      </c>
      <c r="G53" s="15" t="s">
        <v>36</v>
      </c>
      <c r="H53" s="17" t="s">
        <v>25</v>
      </c>
      <c r="I53" s="18" t="s">
        <v>26</v>
      </c>
      <c r="J53" s="15" t="n">
        <v>2023</v>
      </c>
      <c r="K53" s="19" t="s">
        <v>27</v>
      </c>
      <c r="L53" s="15" t="s">
        <v>28</v>
      </c>
      <c r="M53" s="15" t="s">
        <v>33</v>
      </c>
      <c r="N53" s="17"/>
      <c r="O53" s="15"/>
      <c r="P53" s="15"/>
      <c r="Q53" s="21"/>
      <c r="R53" s="21"/>
      <c r="S53" s="21"/>
      <c r="T53" s="28"/>
      <c r="U53" s="24"/>
    </row>
    <row r="54" s="25" customFormat="true" ht="41.4" hidden="false" customHeight="false" outlineLevel="0" collapsed="false">
      <c r="A54" s="36" t="s">
        <v>194</v>
      </c>
      <c r="B54" s="13"/>
      <c r="C54" s="14" t="s">
        <v>122</v>
      </c>
      <c r="D54" s="15" t="n">
        <v>12</v>
      </c>
      <c r="E54" s="16" t="n">
        <v>23628</v>
      </c>
      <c r="F54" s="16" t="n">
        <v>39204</v>
      </c>
      <c r="G54" s="15" t="s">
        <v>36</v>
      </c>
      <c r="H54" s="17" t="s">
        <v>25</v>
      </c>
      <c r="I54" s="18" t="s">
        <v>26</v>
      </c>
      <c r="J54" s="15" t="n">
        <v>2023</v>
      </c>
      <c r="K54" s="19" t="s">
        <v>27</v>
      </c>
      <c r="L54" s="15" t="s">
        <v>28</v>
      </c>
      <c r="M54" s="15" t="s">
        <v>33</v>
      </c>
      <c r="N54" s="20"/>
      <c r="O54" s="15"/>
      <c r="P54" s="15"/>
      <c r="Q54" s="21"/>
      <c r="R54" s="21"/>
      <c r="S54" s="21"/>
      <c r="T54" s="28"/>
      <c r="U54" s="34"/>
    </row>
    <row r="55" s="25" customFormat="true" ht="41.4" hidden="false" customHeight="false" outlineLevel="0" collapsed="false">
      <c r="A55" s="36" t="s">
        <v>195</v>
      </c>
      <c r="B55" s="26"/>
      <c r="C55" s="14" t="s">
        <v>155</v>
      </c>
      <c r="D55" s="15" t="n">
        <v>12</v>
      </c>
      <c r="E55" s="16" t="n">
        <f aca="false">F55/2</f>
        <v>8100</v>
      </c>
      <c r="F55" s="16" t="n">
        <f aca="false">16200</f>
        <v>16200</v>
      </c>
      <c r="G55" s="15" t="s">
        <v>36</v>
      </c>
      <c r="H55" s="17" t="s">
        <v>25</v>
      </c>
      <c r="I55" s="18" t="s">
        <v>26</v>
      </c>
      <c r="J55" s="15" t="n">
        <v>2023</v>
      </c>
      <c r="K55" s="19" t="s">
        <v>65</v>
      </c>
      <c r="L55" s="15" t="s">
        <v>28</v>
      </c>
      <c r="M55" s="15" t="s">
        <v>29</v>
      </c>
      <c r="N55" s="17" t="s">
        <v>153</v>
      </c>
      <c r="O55" s="15"/>
      <c r="P55" s="15"/>
      <c r="Q55" s="21"/>
      <c r="R55" s="21"/>
      <c r="S55" s="21"/>
      <c r="T55" s="28"/>
      <c r="U55" s="24"/>
    </row>
    <row r="56" s="25" customFormat="true" ht="41.4" hidden="false" customHeight="false" outlineLevel="0" collapsed="false">
      <c r="A56" s="36" t="s">
        <v>196</v>
      </c>
      <c r="B56" s="26"/>
      <c r="C56" s="14" t="s">
        <v>197</v>
      </c>
      <c r="D56" s="15" t="n">
        <v>2</v>
      </c>
      <c r="E56" s="16" t="n">
        <f aca="false">F56/2</f>
        <v>312.5</v>
      </c>
      <c r="F56" s="16" t="n">
        <v>625</v>
      </c>
      <c r="G56" s="15" t="s">
        <v>36</v>
      </c>
      <c r="H56" s="17" t="s">
        <v>25</v>
      </c>
      <c r="I56" s="18" t="s">
        <v>26</v>
      </c>
      <c r="J56" s="15" t="n">
        <v>2025</v>
      </c>
      <c r="K56" s="19" t="s">
        <v>27</v>
      </c>
      <c r="L56" s="15" t="s">
        <v>28</v>
      </c>
      <c r="M56" s="15" t="s">
        <v>29</v>
      </c>
      <c r="N56" s="17"/>
      <c r="O56" s="15"/>
      <c r="P56" s="15"/>
      <c r="Q56" s="21"/>
      <c r="R56" s="21"/>
      <c r="S56" s="21"/>
      <c r="T56" s="28"/>
      <c r="U56" s="24"/>
    </row>
    <row r="57" s="25" customFormat="true" ht="41.4" hidden="false" customHeight="false" outlineLevel="0" collapsed="false">
      <c r="A57" s="36" t="s">
        <v>198</v>
      </c>
      <c r="B57" s="26"/>
      <c r="C57" s="14" t="s">
        <v>199</v>
      </c>
      <c r="D57" s="15" t="n">
        <v>4</v>
      </c>
      <c r="E57" s="27" t="n">
        <f aca="false">F57/2</f>
        <v>156</v>
      </c>
      <c r="F57" s="16" t="n">
        <f aca="false">260*1.2</f>
        <v>312</v>
      </c>
      <c r="G57" s="15" t="s">
        <v>36</v>
      </c>
      <c r="H57" s="17" t="s">
        <v>25</v>
      </c>
      <c r="I57" s="18" t="s">
        <v>26</v>
      </c>
      <c r="J57" s="15" t="n">
        <v>2024</v>
      </c>
      <c r="K57" s="19" t="s">
        <v>65</v>
      </c>
      <c r="L57" s="15" t="s">
        <v>28</v>
      </c>
      <c r="M57" s="15" t="s">
        <v>33</v>
      </c>
      <c r="N57" s="17"/>
      <c r="O57" s="15"/>
      <c r="P57" s="15"/>
      <c r="Q57" s="21"/>
      <c r="R57" s="21"/>
      <c r="S57" s="21"/>
      <c r="T57" s="28"/>
      <c r="U57" s="24"/>
    </row>
    <row r="58" s="25" customFormat="true" ht="41.4" hidden="false" customHeight="false" outlineLevel="0" collapsed="false">
      <c r="A58" s="36" t="s">
        <v>200</v>
      </c>
      <c r="B58" s="26" t="s">
        <v>201</v>
      </c>
      <c r="C58" s="14" t="s">
        <v>202</v>
      </c>
      <c r="D58" s="15" t="n">
        <v>4</v>
      </c>
      <c r="E58" s="16" t="n">
        <f aca="false">F58/2</f>
        <v>50</v>
      </c>
      <c r="F58" s="16" t="n">
        <v>100</v>
      </c>
      <c r="G58" s="15" t="s">
        <v>36</v>
      </c>
      <c r="H58" s="17" t="s">
        <v>25</v>
      </c>
      <c r="I58" s="18" t="s">
        <v>26</v>
      </c>
      <c r="J58" s="17" t="n">
        <v>2021</v>
      </c>
      <c r="K58" s="19" t="s">
        <v>27</v>
      </c>
      <c r="L58" s="15" t="s">
        <v>28</v>
      </c>
      <c r="M58" s="15" t="s">
        <v>33</v>
      </c>
      <c r="N58" s="20"/>
      <c r="O58" s="15" t="s">
        <v>203</v>
      </c>
      <c r="P58" s="15"/>
      <c r="Q58" s="21"/>
      <c r="R58" s="21"/>
      <c r="S58" s="21"/>
      <c r="T58" s="28"/>
      <c r="U58" s="34"/>
    </row>
    <row r="59" s="25" customFormat="true" ht="41.4" hidden="false" customHeight="false" outlineLevel="0" collapsed="false">
      <c r="A59" s="36" t="s">
        <v>204</v>
      </c>
      <c r="B59" s="26"/>
      <c r="C59" s="14" t="s">
        <v>155</v>
      </c>
      <c r="D59" s="15" t="n">
        <v>12</v>
      </c>
      <c r="E59" s="16" t="n">
        <f aca="false">F59/2</f>
        <v>8100</v>
      </c>
      <c r="F59" s="16" t="n">
        <f aca="false">16200</f>
        <v>16200</v>
      </c>
      <c r="G59" s="15" t="s">
        <v>36</v>
      </c>
      <c r="H59" s="17" t="s">
        <v>25</v>
      </c>
      <c r="I59" s="18" t="s">
        <v>26</v>
      </c>
      <c r="J59" s="15" t="n">
        <v>2023</v>
      </c>
      <c r="K59" s="19" t="s">
        <v>65</v>
      </c>
      <c r="L59" s="15" t="s">
        <v>28</v>
      </c>
      <c r="M59" s="15" t="s">
        <v>29</v>
      </c>
      <c r="N59" s="17" t="s">
        <v>153</v>
      </c>
      <c r="O59" s="15"/>
      <c r="P59" s="15"/>
      <c r="Q59" s="21"/>
      <c r="R59" s="21"/>
      <c r="S59" s="21"/>
      <c r="T59" s="28"/>
      <c r="U59" s="24"/>
    </row>
    <row r="60" s="25" customFormat="true" ht="41.4" hidden="false" customHeight="false" outlineLevel="0" collapsed="false">
      <c r="A60" s="36" t="s">
        <v>205</v>
      </c>
      <c r="B60" s="26"/>
      <c r="C60" s="14" t="s">
        <v>155</v>
      </c>
      <c r="D60" s="15" t="n">
        <v>24</v>
      </c>
      <c r="E60" s="16" t="n">
        <f aca="false">F60/2</f>
        <v>8100</v>
      </c>
      <c r="F60" s="16" t="n">
        <f aca="false">16200</f>
        <v>16200</v>
      </c>
      <c r="G60" s="15" t="s">
        <v>36</v>
      </c>
      <c r="H60" s="17" t="s">
        <v>25</v>
      </c>
      <c r="I60" s="18" t="s">
        <v>26</v>
      </c>
      <c r="J60" s="15" t="n">
        <v>2023</v>
      </c>
      <c r="K60" s="19" t="s">
        <v>65</v>
      </c>
      <c r="L60" s="15" t="s">
        <v>28</v>
      </c>
      <c r="M60" s="15" t="s">
        <v>29</v>
      </c>
      <c r="N60" s="17" t="s">
        <v>153</v>
      </c>
      <c r="O60" s="15"/>
      <c r="P60" s="15"/>
      <c r="Q60" s="21"/>
      <c r="R60" s="21"/>
      <c r="S60" s="21"/>
      <c r="T60" s="28"/>
      <c r="U60" s="24"/>
    </row>
    <row r="61" s="25" customFormat="true" ht="41.4" hidden="false" customHeight="false" outlineLevel="0" collapsed="false">
      <c r="A61" s="36" t="s">
        <v>206</v>
      </c>
      <c r="B61" s="26"/>
      <c r="C61" s="14" t="s">
        <v>207</v>
      </c>
      <c r="D61" s="15" t="n">
        <v>10</v>
      </c>
      <c r="E61" s="16" t="n">
        <f aca="false">F61/2</f>
        <v>948</v>
      </c>
      <c r="F61" s="16" t="n">
        <f aca="false">1580*1.2</f>
        <v>1896</v>
      </c>
      <c r="G61" s="15" t="s">
        <v>36</v>
      </c>
      <c r="H61" s="17" t="s">
        <v>25</v>
      </c>
      <c r="I61" s="18" t="s">
        <v>26</v>
      </c>
      <c r="J61" s="15" t="n">
        <v>2025</v>
      </c>
      <c r="K61" s="19" t="s">
        <v>27</v>
      </c>
      <c r="L61" s="15" t="s">
        <v>103</v>
      </c>
      <c r="M61" s="15" t="s">
        <v>33</v>
      </c>
      <c r="N61" s="17" t="s">
        <v>208</v>
      </c>
      <c r="O61" s="15"/>
      <c r="P61" s="15"/>
      <c r="Q61" s="21" t="s">
        <v>78</v>
      </c>
      <c r="R61" s="21" t="s">
        <v>79</v>
      </c>
      <c r="S61" s="21" t="s">
        <v>113</v>
      </c>
      <c r="T61" s="31" t="n">
        <v>45852</v>
      </c>
      <c r="U61" s="24"/>
    </row>
    <row r="62" s="25" customFormat="true" ht="41.4" hidden="false" customHeight="false" outlineLevel="0" collapsed="false">
      <c r="A62" s="36" t="s">
        <v>209</v>
      </c>
      <c r="B62" s="26"/>
      <c r="C62" s="14" t="s">
        <v>144</v>
      </c>
      <c r="D62" s="15" t="n">
        <v>4</v>
      </c>
      <c r="E62" s="16" t="n">
        <f aca="false">F62/2</f>
        <v>50</v>
      </c>
      <c r="F62" s="16" t="n">
        <v>100</v>
      </c>
      <c r="G62" s="15" t="s">
        <v>36</v>
      </c>
      <c r="H62" s="17" t="s">
        <v>25</v>
      </c>
      <c r="I62" s="18" t="s">
        <v>26</v>
      </c>
      <c r="J62" s="15" t="n">
        <v>2025</v>
      </c>
      <c r="K62" s="19" t="s">
        <v>145</v>
      </c>
      <c r="L62" s="15" t="s">
        <v>28</v>
      </c>
      <c r="M62" s="15" t="s">
        <v>33</v>
      </c>
      <c r="N62" s="17"/>
      <c r="O62" s="15"/>
      <c r="P62" s="15"/>
      <c r="Q62" s="21"/>
      <c r="R62" s="21"/>
      <c r="S62" s="21" t="s">
        <v>113</v>
      </c>
      <c r="T62" s="31" t="n">
        <v>45880</v>
      </c>
      <c r="U62" s="24"/>
    </row>
    <row r="63" s="25" customFormat="true" ht="41.4" hidden="false" customHeight="false" outlineLevel="0" collapsed="false">
      <c r="A63" s="36" t="s">
        <v>210</v>
      </c>
      <c r="B63" s="26"/>
      <c r="C63" s="14" t="s">
        <v>144</v>
      </c>
      <c r="D63" s="15" t="n">
        <v>4</v>
      </c>
      <c r="E63" s="16" t="n">
        <f aca="false">F63/2</f>
        <v>50</v>
      </c>
      <c r="F63" s="16" t="n">
        <v>100</v>
      </c>
      <c r="G63" s="15" t="s">
        <v>36</v>
      </c>
      <c r="H63" s="17" t="s">
        <v>25</v>
      </c>
      <c r="I63" s="18" t="s">
        <v>26</v>
      </c>
      <c r="J63" s="15" t="n">
        <v>2025</v>
      </c>
      <c r="K63" s="19" t="s">
        <v>145</v>
      </c>
      <c r="L63" s="15" t="s">
        <v>28</v>
      </c>
      <c r="M63" s="15" t="s">
        <v>33</v>
      </c>
      <c r="N63" s="17"/>
      <c r="O63" s="15"/>
      <c r="P63" s="15"/>
      <c r="Q63" s="21"/>
      <c r="R63" s="21"/>
      <c r="S63" s="21" t="s">
        <v>113</v>
      </c>
      <c r="T63" s="31" t="n">
        <v>45880</v>
      </c>
      <c r="U63" s="24"/>
    </row>
    <row r="64" s="25" customFormat="true" ht="41.4" hidden="false" customHeight="false" outlineLevel="0" collapsed="false">
      <c r="A64" s="36" t="s">
        <v>211</v>
      </c>
      <c r="B64" s="13" t="s">
        <v>212</v>
      </c>
      <c r="C64" s="14" t="s">
        <v>213</v>
      </c>
      <c r="D64" s="15" t="n">
        <v>12</v>
      </c>
      <c r="E64" s="16" t="n">
        <f aca="false">F64/2</f>
        <v>1147.5</v>
      </c>
      <c r="F64" s="16" t="n">
        <v>2295</v>
      </c>
      <c r="G64" s="15" t="s">
        <v>36</v>
      </c>
      <c r="H64" s="17" t="s">
        <v>25</v>
      </c>
      <c r="I64" s="18" t="s">
        <v>26</v>
      </c>
      <c r="J64" s="15" t="n">
        <v>2013</v>
      </c>
      <c r="K64" s="19" t="s">
        <v>27</v>
      </c>
      <c r="L64" s="15" t="s">
        <v>28</v>
      </c>
      <c r="M64" s="15" t="s">
        <v>33</v>
      </c>
      <c r="N64" s="17" t="s">
        <v>214</v>
      </c>
      <c r="O64" s="15"/>
      <c r="P64" s="15"/>
      <c r="Q64" s="21" t="s">
        <v>215</v>
      </c>
      <c r="R64" s="21"/>
      <c r="S64" s="21"/>
      <c r="T64" s="28"/>
      <c r="U64" s="24"/>
    </row>
    <row r="65" s="25" customFormat="true" ht="41.4" hidden="false" customHeight="false" outlineLevel="0" collapsed="false">
      <c r="A65" s="36" t="s">
        <v>216</v>
      </c>
      <c r="B65" s="13" t="n">
        <v>13155</v>
      </c>
      <c r="C65" s="14" t="s">
        <v>217</v>
      </c>
      <c r="D65" s="15" t="n">
        <v>6</v>
      </c>
      <c r="E65" s="16" t="n">
        <v>1250</v>
      </c>
      <c r="F65" s="16" t="n">
        <v>2500</v>
      </c>
      <c r="G65" s="15" t="s">
        <v>36</v>
      </c>
      <c r="H65" s="17" t="s">
        <v>25</v>
      </c>
      <c r="I65" s="18" t="s">
        <v>26</v>
      </c>
      <c r="J65" s="15" t="n">
        <v>2017</v>
      </c>
      <c r="K65" s="19" t="s">
        <v>27</v>
      </c>
      <c r="L65" s="15" t="s">
        <v>28</v>
      </c>
      <c r="M65" s="15" t="s">
        <v>33</v>
      </c>
      <c r="N65" s="17" t="s">
        <v>83</v>
      </c>
      <c r="O65" s="15"/>
      <c r="P65" s="15"/>
      <c r="Q65" s="21" t="s">
        <v>41</v>
      </c>
      <c r="R65" s="21"/>
      <c r="S65" s="21"/>
      <c r="T65" s="28"/>
      <c r="U65" s="24"/>
    </row>
    <row r="66" s="25" customFormat="true" ht="41.4" hidden="false" customHeight="false" outlineLevel="0" collapsed="false">
      <c r="A66" s="36" t="s">
        <v>218</v>
      </c>
      <c r="B66" s="13" t="s">
        <v>219</v>
      </c>
      <c r="C66" s="14" t="s">
        <v>220</v>
      </c>
      <c r="D66" s="15" t="n">
        <v>6</v>
      </c>
      <c r="E66" s="16" t="n">
        <f aca="false">F66/2</f>
        <v>1285</v>
      </c>
      <c r="F66" s="16" t="n">
        <f aca="false">FLOOR(2142*1.2,1)</f>
        <v>2570</v>
      </c>
      <c r="G66" s="15" t="s">
        <v>36</v>
      </c>
      <c r="H66" s="17" t="s">
        <v>25</v>
      </c>
      <c r="I66" s="18" t="s">
        <v>26</v>
      </c>
      <c r="J66" s="15" t="n">
        <v>2012</v>
      </c>
      <c r="K66" s="19" t="s">
        <v>27</v>
      </c>
      <c r="L66" s="15" t="s">
        <v>28</v>
      </c>
      <c r="M66" s="15" t="s">
        <v>33</v>
      </c>
      <c r="N66" s="17"/>
      <c r="O66" s="15"/>
      <c r="P66" s="15"/>
      <c r="Q66" s="21" t="s">
        <v>41</v>
      </c>
      <c r="R66" s="21"/>
      <c r="S66" s="21"/>
      <c r="T66" s="31" t="n">
        <v>45899</v>
      </c>
      <c r="U66" s="24" t="s">
        <v>221</v>
      </c>
    </row>
    <row r="67" s="25" customFormat="true" ht="41.4" hidden="false" customHeight="false" outlineLevel="0" collapsed="false">
      <c r="A67" s="36" t="s">
        <v>222</v>
      </c>
      <c r="B67" s="26"/>
      <c r="C67" s="14" t="s">
        <v>223</v>
      </c>
      <c r="D67" s="15" t="n">
        <v>4</v>
      </c>
      <c r="E67" s="16" t="n">
        <f aca="false">F67/2</f>
        <v>3744</v>
      </c>
      <c r="F67" s="16" t="n">
        <f aca="false">6240*1.2</f>
        <v>7488</v>
      </c>
      <c r="G67" s="15" t="s">
        <v>36</v>
      </c>
      <c r="H67" s="17" t="s">
        <v>25</v>
      </c>
      <c r="I67" s="18" t="s">
        <v>26</v>
      </c>
      <c r="J67" s="15" t="n">
        <v>2025</v>
      </c>
      <c r="K67" s="19" t="s">
        <v>27</v>
      </c>
      <c r="L67" s="15" t="s">
        <v>28</v>
      </c>
      <c r="M67" s="15" t="s">
        <v>33</v>
      </c>
      <c r="N67" s="17"/>
      <c r="O67" s="15"/>
      <c r="P67" s="15"/>
      <c r="Q67" s="21"/>
      <c r="R67" s="21"/>
      <c r="S67" s="21"/>
      <c r="T67" s="31" t="n">
        <v>45909</v>
      </c>
      <c r="U67" s="24"/>
    </row>
    <row r="68" s="25" customFormat="true" ht="68.4" hidden="false" customHeight="false" outlineLevel="0" collapsed="false">
      <c r="A68" s="36" t="s">
        <v>224</v>
      </c>
      <c r="B68" s="26" t="s">
        <v>225</v>
      </c>
      <c r="C68" s="14" t="s">
        <v>226</v>
      </c>
      <c r="D68" s="15" t="n">
        <v>12</v>
      </c>
      <c r="E68" s="16" t="n">
        <v>2000</v>
      </c>
      <c r="F68" s="16" t="n">
        <f aca="false">3000*1.3*1.2</f>
        <v>4680</v>
      </c>
      <c r="G68" s="15" t="s">
        <v>24</v>
      </c>
      <c r="H68" s="17" t="s">
        <v>25</v>
      </c>
      <c r="I68" s="18" t="s">
        <v>26</v>
      </c>
      <c r="J68" s="15" t="n">
        <v>1997</v>
      </c>
      <c r="K68" s="19" t="s">
        <v>27</v>
      </c>
      <c r="L68" s="15" t="s">
        <v>28</v>
      </c>
      <c r="M68" s="15" t="s">
        <v>33</v>
      </c>
      <c r="N68" s="17"/>
      <c r="O68" s="15"/>
      <c r="P68" s="15"/>
      <c r="Q68" s="21" t="s">
        <v>41</v>
      </c>
      <c r="R68" s="21"/>
      <c r="S68" s="21"/>
      <c r="T68" s="28"/>
      <c r="U68" s="24" t="s">
        <v>227</v>
      </c>
    </row>
    <row r="69" s="25" customFormat="true" ht="41.4" hidden="false" customHeight="false" outlineLevel="0" collapsed="false">
      <c r="A69" s="36" t="s">
        <v>228</v>
      </c>
      <c r="B69" s="26" t="s">
        <v>229</v>
      </c>
      <c r="C69" s="14" t="s">
        <v>230</v>
      </c>
      <c r="D69" s="15" t="n">
        <v>12</v>
      </c>
      <c r="E69" s="16" t="n">
        <f aca="false">F69/2</f>
        <v>37440</v>
      </c>
      <c r="F69" s="16" t="n">
        <f aca="false">62400*1.2</f>
        <v>74880</v>
      </c>
      <c r="G69" s="15" t="s">
        <v>36</v>
      </c>
      <c r="H69" s="17" t="s">
        <v>25</v>
      </c>
      <c r="I69" s="18" t="s">
        <v>26</v>
      </c>
      <c r="J69" s="15" t="n">
        <v>2021</v>
      </c>
      <c r="K69" s="19" t="s">
        <v>27</v>
      </c>
      <c r="L69" s="15" t="s">
        <v>28</v>
      </c>
      <c r="M69" s="15" t="s">
        <v>33</v>
      </c>
      <c r="N69" s="17"/>
      <c r="O69" s="15" t="s">
        <v>46</v>
      </c>
      <c r="P69" s="15"/>
      <c r="Q69" s="21"/>
      <c r="R69" s="21"/>
      <c r="S69" s="21"/>
      <c r="T69" s="31" t="n">
        <v>45923</v>
      </c>
      <c r="U69" s="24"/>
    </row>
    <row r="70" s="25" customFormat="true" ht="41.4" hidden="false" customHeight="false" outlineLevel="0" collapsed="false">
      <c r="A70" s="36" t="s">
        <v>231</v>
      </c>
      <c r="B70" s="26" t="s">
        <v>232</v>
      </c>
      <c r="C70" s="14" t="s">
        <v>233</v>
      </c>
      <c r="D70" s="15" t="n">
        <v>4</v>
      </c>
      <c r="E70" s="16" t="n">
        <f aca="false">F70/2</f>
        <v>1450</v>
      </c>
      <c r="F70" s="16" t="n">
        <v>2900</v>
      </c>
      <c r="G70" s="15" t="s">
        <v>36</v>
      </c>
      <c r="H70" s="17" t="s">
        <v>25</v>
      </c>
      <c r="I70" s="18" t="s">
        <v>26</v>
      </c>
      <c r="J70" s="15" t="n">
        <v>2021</v>
      </c>
      <c r="K70" s="19" t="s">
        <v>234</v>
      </c>
      <c r="L70" s="15" t="s">
        <v>28</v>
      </c>
      <c r="M70" s="15" t="s">
        <v>33</v>
      </c>
      <c r="N70" s="20"/>
      <c r="O70" s="15"/>
      <c r="P70" s="15"/>
      <c r="Q70" s="21"/>
      <c r="R70" s="21"/>
      <c r="S70" s="21"/>
      <c r="T70" s="28"/>
      <c r="U70" s="34"/>
    </row>
    <row r="71" s="25" customFormat="true" ht="41.4" hidden="false" customHeight="false" outlineLevel="0" collapsed="false">
      <c r="A71" s="36" t="s">
        <v>235</v>
      </c>
      <c r="B71" s="26" t="s">
        <v>232</v>
      </c>
      <c r="C71" s="14" t="s">
        <v>236</v>
      </c>
      <c r="D71" s="15" t="n">
        <v>4</v>
      </c>
      <c r="E71" s="16" t="n">
        <f aca="false">F71/2</f>
        <v>1000</v>
      </c>
      <c r="F71" s="16" t="n">
        <v>2000</v>
      </c>
      <c r="G71" s="15" t="s">
        <v>36</v>
      </c>
      <c r="H71" s="17" t="s">
        <v>25</v>
      </c>
      <c r="I71" s="18" t="s">
        <v>26</v>
      </c>
      <c r="J71" s="15" t="n">
        <v>2021</v>
      </c>
      <c r="K71" s="19" t="s">
        <v>27</v>
      </c>
      <c r="L71" s="15" t="s">
        <v>28</v>
      </c>
      <c r="M71" s="15" t="s">
        <v>33</v>
      </c>
      <c r="N71" s="20"/>
      <c r="O71" s="15" t="s">
        <v>46</v>
      </c>
      <c r="P71" s="15"/>
      <c r="Q71" s="21"/>
      <c r="R71" s="21"/>
      <c r="S71" s="21"/>
      <c r="T71" s="28"/>
      <c r="U71" s="34"/>
      <c r="V71" s="37"/>
      <c r="W71" s="37"/>
    </row>
    <row r="72" s="25" customFormat="true" ht="41.4" hidden="false" customHeight="false" outlineLevel="0" collapsed="false">
      <c r="A72" s="36" t="s">
        <v>237</v>
      </c>
      <c r="B72" s="26" t="s">
        <v>238</v>
      </c>
      <c r="C72" s="14" t="s">
        <v>239</v>
      </c>
      <c r="D72" s="15" t="n">
        <v>12</v>
      </c>
      <c r="E72" s="16" t="n">
        <f aca="false">F72/2</f>
        <v>14940</v>
      </c>
      <c r="F72" s="16" t="n">
        <f aca="false">12*2490</f>
        <v>29880</v>
      </c>
      <c r="G72" s="15" t="s">
        <v>36</v>
      </c>
      <c r="H72" s="17" t="s">
        <v>25</v>
      </c>
      <c r="I72" s="18" t="s">
        <v>26</v>
      </c>
      <c r="J72" s="15" t="n">
        <v>2018</v>
      </c>
      <c r="K72" s="19" t="s">
        <v>27</v>
      </c>
      <c r="L72" s="15" t="s">
        <v>28</v>
      </c>
      <c r="M72" s="15" t="s">
        <v>33</v>
      </c>
      <c r="N72" s="17" t="s">
        <v>240</v>
      </c>
      <c r="O72" s="15" t="s">
        <v>46</v>
      </c>
      <c r="P72" s="15"/>
      <c r="Q72" s="21" t="s">
        <v>78</v>
      </c>
      <c r="R72" s="21"/>
      <c r="S72" s="21"/>
      <c r="T72" s="31" t="n">
        <v>45880</v>
      </c>
      <c r="U72" s="24"/>
    </row>
    <row r="73" s="25" customFormat="true" ht="41.4" hidden="false" customHeight="false" outlineLevel="0" collapsed="false">
      <c r="A73" s="36" t="s">
        <v>241</v>
      </c>
      <c r="B73" s="26" t="s">
        <v>242</v>
      </c>
      <c r="C73" s="14" t="s">
        <v>243</v>
      </c>
      <c r="D73" s="15" t="n">
        <v>12</v>
      </c>
      <c r="E73" s="16" t="n">
        <f aca="false">F73/2</f>
        <v>47736</v>
      </c>
      <c r="F73" s="16" t="n">
        <f aca="false">79560*1.2</f>
        <v>95472</v>
      </c>
      <c r="G73" s="15" t="s">
        <v>36</v>
      </c>
      <c r="H73" s="17" t="s">
        <v>25</v>
      </c>
      <c r="I73" s="18" t="s">
        <v>26</v>
      </c>
      <c r="J73" s="15" t="n">
        <v>2018</v>
      </c>
      <c r="K73" s="19" t="s">
        <v>27</v>
      </c>
      <c r="L73" s="15" t="s">
        <v>28</v>
      </c>
      <c r="M73" s="15" t="s">
        <v>33</v>
      </c>
      <c r="N73" s="17" t="s">
        <v>240</v>
      </c>
      <c r="O73" s="15" t="s">
        <v>46</v>
      </c>
      <c r="P73" s="15"/>
      <c r="Q73" s="21" t="s">
        <v>78</v>
      </c>
      <c r="R73" s="21"/>
      <c r="S73" s="21"/>
      <c r="T73" s="28"/>
      <c r="U73" s="24"/>
    </row>
    <row r="74" s="25" customFormat="true" ht="41.4" hidden="false" customHeight="false" outlineLevel="0" collapsed="false">
      <c r="A74" s="36" t="s">
        <v>244</v>
      </c>
      <c r="B74" s="26" t="s">
        <v>245</v>
      </c>
      <c r="C74" s="14" t="s">
        <v>246</v>
      </c>
      <c r="D74" s="15" t="n">
        <v>12</v>
      </c>
      <c r="E74" s="27" t="n">
        <f aca="false">F74/2</f>
        <v>24421</v>
      </c>
      <c r="F74" s="38" t="n">
        <v>48842</v>
      </c>
      <c r="G74" s="15" t="s">
        <v>36</v>
      </c>
      <c r="H74" s="17" t="s">
        <v>25</v>
      </c>
      <c r="I74" s="18" t="s">
        <v>26</v>
      </c>
      <c r="J74" s="15" t="n">
        <v>2017</v>
      </c>
      <c r="K74" s="19" t="s">
        <v>27</v>
      </c>
      <c r="L74" s="15" t="s">
        <v>28</v>
      </c>
      <c r="M74" s="15" t="s">
        <v>33</v>
      </c>
      <c r="N74" s="17" t="s">
        <v>240</v>
      </c>
      <c r="O74" s="15"/>
      <c r="P74" s="15"/>
      <c r="Q74" s="21" t="s">
        <v>247</v>
      </c>
      <c r="R74" s="21"/>
      <c r="S74" s="21"/>
      <c r="T74" s="31" t="n">
        <v>45882</v>
      </c>
      <c r="U74" s="24" t="s">
        <v>248</v>
      </c>
    </row>
    <row r="75" s="25" customFormat="true" ht="41.4" hidden="false" customHeight="false" outlineLevel="0" collapsed="false">
      <c r="A75" s="12" t="s">
        <v>240</v>
      </c>
      <c r="B75" s="26"/>
      <c r="C75" s="14" t="s">
        <v>249</v>
      </c>
      <c r="D75" s="15" t="n">
        <v>12</v>
      </c>
      <c r="E75" s="16" t="n">
        <f aca="false">F75/2</f>
        <v>33750</v>
      </c>
      <c r="F75" s="16" t="n">
        <v>67500</v>
      </c>
      <c r="G75" s="15" t="s">
        <v>36</v>
      </c>
      <c r="H75" s="17" t="s">
        <v>25</v>
      </c>
      <c r="I75" s="18" t="s">
        <v>26</v>
      </c>
      <c r="J75" s="15" t="n">
        <v>2023</v>
      </c>
      <c r="K75" s="19" t="s">
        <v>27</v>
      </c>
      <c r="L75" s="15" t="s">
        <v>28</v>
      </c>
      <c r="M75" s="15" t="s">
        <v>33</v>
      </c>
      <c r="N75" s="20"/>
      <c r="O75" s="15" t="s">
        <v>250</v>
      </c>
      <c r="P75" s="15"/>
      <c r="Q75" s="21"/>
      <c r="R75" s="21"/>
      <c r="S75" s="21"/>
      <c r="T75" s="28"/>
      <c r="U75" s="34"/>
    </row>
    <row r="76" s="25" customFormat="true" ht="57" hidden="false" customHeight="false" outlineLevel="0" collapsed="false">
      <c r="A76" s="36" t="s">
        <v>251</v>
      </c>
      <c r="B76" s="26" t="s">
        <v>252</v>
      </c>
      <c r="C76" s="14" t="s">
        <v>86</v>
      </c>
      <c r="D76" s="15" t="n">
        <v>6</v>
      </c>
      <c r="E76" s="16" t="n">
        <f aca="false">F76/2</f>
        <v>8237</v>
      </c>
      <c r="F76" s="32" t="n">
        <v>16474</v>
      </c>
      <c r="G76" s="15" t="s">
        <v>24</v>
      </c>
      <c r="H76" s="17" t="s">
        <v>25</v>
      </c>
      <c r="I76" s="18" t="s">
        <v>26</v>
      </c>
      <c r="J76" s="15" t="n">
        <v>2006</v>
      </c>
      <c r="K76" s="19" t="s">
        <v>59</v>
      </c>
      <c r="L76" s="15" t="s">
        <v>28</v>
      </c>
      <c r="M76" s="15" t="s">
        <v>33</v>
      </c>
      <c r="N76" s="17"/>
      <c r="O76" s="15"/>
      <c r="P76" s="15"/>
      <c r="Q76" s="21" t="s">
        <v>253</v>
      </c>
      <c r="R76" s="21"/>
      <c r="S76" s="21"/>
      <c r="T76" s="31" t="n">
        <v>45882</v>
      </c>
      <c r="U76" s="24" t="s">
        <v>254</v>
      </c>
    </row>
    <row r="77" s="25" customFormat="true" ht="41.4" hidden="false" customHeight="false" outlineLevel="0" collapsed="false">
      <c r="A77" s="12" t="s">
        <v>255</v>
      </c>
      <c r="B77" s="13" t="s">
        <v>256</v>
      </c>
      <c r="C77" s="14" t="s">
        <v>243</v>
      </c>
      <c r="D77" s="15" t="n">
        <v>12</v>
      </c>
      <c r="E77" s="16" t="n">
        <f aca="false">F77/2</f>
        <v>47736</v>
      </c>
      <c r="F77" s="16" t="n">
        <f aca="false">79560*1.2</f>
        <v>95472</v>
      </c>
      <c r="G77" s="15" t="s">
        <v>36</v>
      </c>
      <c r="H77" s="17" t="s">
        <v>25</v>
      </c>
      <c r="I77" s="18" t="s">
        <v>26</v>
      </c>
      <c r="J77" s="15" t="n">
        <v>2018</v>
      </c>
      <c r="K77" s="19" t="s">
        <v>27</v>
      </c>
      <c r="L77" s="15" t="s">
        <v>28</v>
      </c>
      <c r="M77" s="15" t="s">
        <v>33</v>
      </c>
      <c r="N77" s="17" t="s">
        <v>257</v>
      </c>
      <c r="O77" s="15"/>
      <c r="P77" s="15"/>
      <c r="Q77" s="21" t="s">
        <v>78</v>
      </c>
      <c r="R77" s="21"/>
      <c r="S77" s="21"/>
      <c r="T77" s="28"/>
      <c r="U77" s="24"/>
    </row>
    <row r="78" s="25" customFormat="true" ht="41.4" hidden="false" customHeight="false" outlineLevel="0" collapsed="false">
      <c r="A78" s="36" t="s">
        <v>258</v>
      </c>
      <c r="B78" s="26" t="s">
        <v>259</v>
      </c>
      <c r="C78" s="14" t="s">
        <v>260</v>
      </c>
      <c r="D78" s="15" t="n">
        <v>12</v>
      </c>
      <c r="E78" s="16" t="n">
        <f aca="false">F78/2</f>
        <v>8892</v>
      </c>
      <c r="F78" s="16" t="n">
        <v>17784</v>
      </c>
      <c r="G78" s="15" t="s">
        <v>36</v>
      </c>
      <c r="H78" s="17" t="s">
        <v>25</v>
      </c>
      <c r="I78" s="18" t="s">
        <v>26</v>
      </c>
      <c r="J78" s="15" t="n">
        <v>2021</v>
      </c>
      <c r="K78" s="19" t="s">
        <v>27</v>
      </c>
      <c r="L78" s="15" t="s">
        <v>28</v>
      </c>
      <c r="M78" s="15" t="s">
        <v>33</v>
      </c>
      <c r="N78" s="20" t="s">
        <v>257</v>
      </c>
      <c r="O78" s="15"/>
      <c r="P78" s="15"/>
      <c r="Q78" s="21"/>
      <c r="R78" s="21"/>
      <c r="S78" s="21"/>
      <c r="T78" s="31" t="n">
        <v>45909</v>
      </c>
      <c r="U78" s="34"/>
    </row>
    <row r="79" s="25" customFormat="true" ht="41.4" hidden="false" customHeight="false" outlineLevel="0" collapsed="false">
      <c r="A79" s="36" t="s">
        <v>261</v>
      </c>
      <c r="B79" s="26" t="s">
        <v>262</v>
      </c>
      <c r="C79" s="14" t="s">
        <v>122</v>
      </c>
      <c r="D79" s="15" t="n">
        <v>12</v>
      </c>
      <c r="E79" s="16" t="n">
        <v>23628</v>
      </c>
      <c r="F79" s="16" t="n">
        <v>39204</v>
      </c>
      <c r="G79" s="15" t="s">
        <v>36</v>
      </c>
      <c r="H79" s="17" t="s">
        <v>25</v>
      </c>
      <c r="I79" s="18" t="s">
        <v>26</v>
      </c>
      <c r="J79" s="15" t="n">
        <v>2017</v>
      </c>
      <c r="K79" s="19" t="s">
        <v>27</v>
      </c>
      <c r="L79" s="15" t="s">
        <v>28</v>
      </c>
      <c r="M79" s="15" t="s">
        <v>33</v>
      </c>
      <c r="N79" s="17" t="s">
        <v>257</v>
      </c>
      <c r="O79" s="15"/>
      <c r="P79" s="15"/>
      <c r="Q79" s="21"/>
      <c r="R79" s="21"/>
      <c r="S79" s="21"/>
      <c r="T79" s="28"/>
      <c r="U79" s="24"/>
    </row>
    <row r="80" s="25" customFormat="true" ht="41.4" hidden="false" customHeight="false" outlineLevel="0" collapsed="false">
      <c r="A80" s="39" t="s">
        <v>263</v>
      </c>
      <c r="B80" s="30" t="n">
        <f aca="false">1851.5*12</f>
        <v>22218</v>
      </c>
      <c r="C80" s="14" t="s">
        <v>264</v>
      </c>
      <c r="D80" s="15" t="n">
        <v>12</v>
      </c>
      <c r="E80" s="16" t="n">
        <f aca="false">F80/2</f>
        <v>45800.64</v>
      </c>
      <c r="F80" s="16" t="n">
        <f aca="false">98496*0.93</f>
        <v>91601.28</v>
      </c>
      <c r="G80" s="15" t="s">
        <v>36</v>
      </c>
      <c r="H80" s="17" t="s">
        <v>25</v>
      </c>
      <c r="I80" s="18" t="s">
        <v>26</v>
      </c>
      <c r="J80" s="15" t="n">
        <v>2024</v>
      </c>
      <c r="K80" s="19" t="s">
        <v>27</v>
      </c>
      <c r="L80" s="15" t="s">
        <v>28</v>
      </c>
      <c r="M80" s="15" t="s">
        <v>33</v>
      </c>
      <c r="N80" s="15" t="s">
        <v>257</v>
      </c>
      <c r="O80" s="15"/>
      <c r="P80" s="15"/>
      <c r="Q80" s="21"/>
      <c r="R80" s="21"/>
      <c r="S80" s="40"/>
      <c r="T80" s="31" t="n">
        <v>45880</v>
      </c>
      <c r="U80" s="41"/>
    </row>
    <row r="81" s="25" customFormat="true" ht="45.6" hidden="false" customHeight="false" outlineLevel="0" collapsed="false">
      <c r="A81" s="36" t="s">
        <v>265</v>
      </c>
      <c r="B81" s="26" t="s">
        <v>266</v>
      </c>
      <c r="C81" s="14" t="s">
        <v>188</v>
      </c>
      <c r="D81" s="15" t="n">
        <v>12</v>
      </c>
      <c r="E81" s="16" t="n">
        <f aca="false">F81/2</f>
        <v>11232</v>
      </c>
      <c r="F81" s="16" t="n">
        <f aca="false">18720*1.2</f>
        <v>22464</v>
      </c>
      <c r="G81" s="15" t="s">
        <v>36</v>
      </c>
      <c r="H81" s="17" t="s">
        <v>25</v>
      </c>
      <c r="I81" s="18" t="s">
        <v>26</v>
      </c>
      <c r="J81" s="15" t="n">
        <v>2021</v>
      </c>
      <c r="K81" s="19" t="s">
        <v>27</v>
      </c>
      <c r="L81" s="15" t="s">
        <v>28</v>
      </c>
      <c r="M81" s="15" t="s">
        <v>33</v>
      </c>
      <c r="N81" s="20"/>
      <c r="O81" s="15"/>
      <c r="P81" s="15"/>
      <c r="Q81" s="21"/>
      <c r="R81" s="21"/>
      <c r="S81" s="21"/>
      <c r="T81" s="28"/>
      <c r="U81" s="24" t="s">
        <v>267</v>
      </c>
    </row>
    <row r="82" s="25" customFormat="true" ht="41.4" hidden="false" customHeight="false" outlineLevel="0" collapsed="false">
      <c r="A82" s="36" t="s">
        <v>268</v>
      </c>
      <c r="B82" s="26"/>
      <c r="C82" s="14" t="s">
        <v>269</v>
      </c>
      <c r="D82" s="15" t="n">
        <v>6</v>
      </c>
      <c r="E82" s="27" t="n">
        <f aca="false">F82/2</f>
        <v>50</v>
      </c>
      <c r="F82" s="16" t="n">
        <v>100</v>
      </c>
      <c r="G82" s="15" t="s">
        <v>36</v>
      </c>
      <c r="H82" s="17" t="s">
        <v>25</v>
      </c>
      <c r="I82" s="18" t="s">
        <v>26</v>
      </c>
      <c r="J82" s="15" t="n">
        <v>2024</v>
      </c>
      <c r="K82" s="19" t="s">
        <v>27</v>
      </c>
      <c r="L82" s="15" t="s">
        <v>28</v>
      </c>
      <c r="M82" s="15" t="s">
        <v>33</v>
      </c>
      <c r="N82" s="20" t="s">
        <v>270</v>
      </c>
      <c r="O82" s="15" t="s">
        <v>203</v>
      </c>
      <c r="P82" s="15"/>
      <c r="Q82" s="21"/>
      <c r="R82" s="21"/>
      <c r="S82" s="21"/>
      <c r="T82" s="28"/>
      <c r="U82" s="34"/>
    </row>
    <row r="83" s="25" customFormat="true" ht="41.4" hidden="false" customHeight="false" outlineLevel="0" collapsed="false">
      <c r="A83" s="36" t="s">
        <v>271</v>
      </c>
      <c r="B83" s="26"/>
      <c r="C83" s="14" t="s">
        <v>272</v>
      </c>
      <c r="D83" s="15" t="n">
        <v>6</v>
      </c>
      <c r="E83" s="16" t="n">
        <f aca="false">F83/2</f>
        <v>3510</v>
      </c>
      <c r="F83" s="16" t="n">
        <f aca="false">5850*1.2</f>
        <v>7020</v>
      </c>
      <c r="G83" s="15" t="s">
        <v>36</v>
      </c>
      <c r="H83" s="17" t="s">
        <v>25</v>
      </c>
      <c r="I83" s="18" t="s">
        <v>26</v>
      </c>
      <c r="J83" s="15" t="n">
        <v>2024</v>
      </c>
      <c r="K83" s="19" t="s">
        <v>27</v>
      </c>
      <c r="L83" s="15" t="s">
        <v>28</v>
      </c>
      <c r="M83" s="15" t="s">
        <v>33</v>
      </c>
      <c r="N83" s="17" t="s">
        <v>270</v>
      </c>
      <c r="O83" s="15"/>
      <c r="P83" s="15"/>
      <c r="Q83" s="21"/>
      <c r="R83" s="21"/>
      <c r="S83" s="21"/>
      <c r="T83" s="28"/>
      <c r="U83" s="24"/>
    </row>
    <row r="84" s="25" customFormat="true" ht="41.4" hidden="false" customHeight="false" outlineLevel="0" collapsed="false">
      <c r="A84" s="36" t="s">
        <v>273</v>
      </c>
      <c r="B84" s="26" t="s">
        <v>274</v>
      </c>
      <c r="C84" s="14" t="s">
        <v>246</v>
      </c>
      <c r="D84" s="15" t="n">
        <v>12</v>
      </c>
      <c r="E84" s="27" t="n">
        <f aca="false">F84/2</f>
        <v>20512</v>
      </c>
      <c r="F84" s="38" t="n">
        <v>41024</v>
      </c>
      <c r="G84" s="15" t="s">
        <v>36</v>
      </c>
      <c r="H84" s="17" t="s">
        <v>25</v>
      </c>
      <c r="I84" s="18" t="s">
        <v>26</v>
      </c>
      <c r="J84" s="15" t="n">
        <v>2017</v>
      </c>
      <c r="K84" s="19" t="s">
        <v>27</v>
      </c>
      <c r="L84" s="15" t="s">
        <v>28</v>
      </c>
      <c r="M84" s="15" t="s">
        <v>33</v>
      </c>
      <c r="N84" s="17"/>
      <c r="O84" s="15"/>
      <c r="P84" s="15"/>
      <c r="Q84" s="21" t="s">
        <v>247</v>
      </c>
      <c r="R84" s="21"/>
      <c r="S84" s="21"/>
      <c r="T84" s="31" t="n">
        <v>45882</v>
      </c>
      <c r="U84" s="24" t="s">
        <v>248</v>
      </c>
    </row>
    <row r="85" s="25" customFormat="true" ht="41.4" hidden="false" customHeight="false" outlineLevel="0" collapsed="false">
      <c r="A85" s="36" t="s">
        <v>275</v>
      </c>
      <c r="B85" s="26"/>
      <c r="C85" s="14" t="s">
        <v>276</v>
      </c>
      <c r="D85" s="15" t="n">
        <v>4</v>
      </c>
      <c r="E85" s="16" t="n">
        <f aca="false">F85/2</f>
        <v>780</v>
      </c>
      <c r="F85" s="16" t="n">
        <f aca="false">1300*1.2</f>
        <v>1560</v>
      </c>
      <c r="G85" s="15" t="s">
        <v>36</v>
      </c>
      <c r="H85" s="17" t="s">
        <v>25</v>
      </c>
      <c r="I85" s="18" t="s">
        <v>26</v>
      </c>
      <c r="J85" s="15" t="n">
        <v>2025</v>
      </c>
      <c r="K85" s="19" t="s">
        <v>65</v>
      </c>
      <c r="L85" s="15" t="s">
        <v>28</v>
      </c>
      <c r="M85" s="15" t="s">
        <v>33</v>
      </c>
      <c r="N85" s="17"/>
      <c r="O85" s="15"/>
      <c r="P85" s="15"/>
      <c r="Q85" s="21"/>
      <c r="R85" s="21"/>
      <c r="S85" s="21"/>
      <c r="T85" s="31" t="n">
        <v>45909</v>
      </c>
      <c r="U85" s="24"/>
    </row>
    <row r="86" s="25" customFormat="true" ht="41.4" hidden="false" customHeight="false" outlineLevel="0" collapsed="false">
      <c r="A86" s="36" t="s">
        <v>277</v>
      </c>
      <c r="B86" s="26" t="s">
        <v>278</v>
      </c>
      <c r="C86" s="14" t="s">
        <v>246</v>
      </c>
      <c r="D86" s="15" t="n">
        <v>12</v>
      </c>
      <c r="E86" s="16" t="n">
        <f aca="false">F86/2</f>
        <v>6739</v>
      </c>
      <c r="F86" s="38" t="n">
        <v>13478</v>
      </c>
      <c r="G86" s="15" t="s">
        <v>24</v>
      </c>
      <c r="H86" s="17" t="s">
        <v>25</v>
      </c>
      <c r="I86" s="18" t="s">
        <v>26</v>
      </c>
      <c r="J86" s="15" t="n">
        <v>2000</v>
      </c>
      <c r="K86" s="19" t="s">
        <v>27</v>
      </c>
      <c r="L86" s="15" t="s">
        <v>28</v>
      </c>
      <c r="M86" s="15" t="s">
        <v>33</v>
      </c>
      <c r="N86" s="17" t="s">
        <v>279</v>
      </c>
      <c r="O86" s="15"/>
      <c r="P86" s="15"/>
      <c r="Q86" s="21" t="s">
        <v>280</v>
      </c>
      <c r="R86" s="21"/>
      <c r="S86" s="21"/>
      <c r="T86" s="31" t="n">
        <v>45882</v>
      </c>
      <c r="U86" s="24" t="s">
        <v>281</v>
      </c>
    </row>
    <row r="87" s="25" customFormat="true" ht="41.4" hidden="false" customHeight="false" outlineLevel="0" collapsed="false">
      <c r="A87" s="36" t="s">
        <v>282</v>
      </c>
      <c r="B87" s="26"/>
      <c r="C87" s="14" t="s">
        <v>283</v>
      </c>
      <c r="D87" s="15" t="n">
        <v>4</v>
      </c>
      <c r="E87" s="27" t="n">
        <f aca="false">F87/2</f>
        <v>3120</v>
      </c>
      <c r="F87" s="16" t="n">
        <f aca="false">5200*1.2</f>
        <v>6240</v>
      </c>
      <c r="G87" s="15" t="s">
        <v>36</v>
      </c>
      <c r="H87" s="17" t="s">
        <v>25</v>
      </c>
      <c r="I87" s="18" t="s">
        <v>26</v>
      </c>
      <c r="J87" s="15" t="n">
        <v>2025</v>
      </c>
      <c r="K87" s="19" t="s">
        <v>27</v>
      </c>
      <c r="L87" s="15" t="s">
        <v>28</v>
      </c>
      <c r="M87" s="15" t="s">
        <v>33</v>
      </c>
      <c r="N87" s="17"/>
      <c r="O87" s="15"/>
      <c r="P87" s="15"/>
      <c r="Q87" s="21"/>
      <c r="R87" s="21"/>
      <c r="S87" s="21"/>
      <c r="T87" s="28"/>
      <c r="U87" s="24" t="s">
        <v>284</v>
      </c>
    </row>
    <row r="88" s="25" customFormat="true" ht="41.4" hidden="false" customHeight="false" outlineLevel="0" collapsed="false">
      <c r="A88" s="36" t="s">
        <v>116</v>
      </c>
      <c r="B88" s="26" t="s">
        <v>285</v>
      </c>
      <c r="C88" s="14" t="s">
        <v>116</v>
      </c>
      <c r="D88" s="15" t="n">
        <v>8</v>
      </c>
      <c r="E88" s="16" t="n">
        <f aca="false">F88/2</f>
        <v>10800</v>
      </c>
      <c r="F88" s="16" t="n">
        <f aca="false">18000*1.2</f>
        <v>21600</v>
      </c>
      <c r="G88" s="15" t="s">
        <v>36</v>
      </c>
      <c r="H88" s="17" t="s">
        <v>25</v>
      </c>
      <c r="I88" s="18" t="s">
        <v>26</v>
      </c>
      <c r="J88" s="15" t="n">
        <v>2021</v>
      </c>
      <c r="K88" s="19" t="s">
        <v>117</v>
      </c>
      <c r="L88" s="15" t="s">
        <v>28</v>
      </c>
      <c r="M88" s="15" t="s">
        <v>33</v>
      </c>
      <c r="N88" s="20" t="s">
        <v>45</v>
      </c>
      <c r="O88" s="15"/>
      <c r="P88" s="15"/>
      <c r="Q88" s="21"/>
      <c r="R88" s="21"/>
      <c r="S88" s="21"/>
      <c r="T88" s="28"/>
      <c r="U88" s="34"/>
    </row>
    <row r="89" s="25" customFormat="true" ht="41.4" hidden="false" customHeight="false" outlineLevel="0" collapsed="false">
      <c r="A89" s="36" t="s">
        <v>286</v>
      </c>
      <c r="B89" s="26"/>
      <c r="C89" s="14" t="s">
        <v>287</v>
      </c>
      <c r="D89" s="15" t="n">
        <v>4</v>
      </c>
      <c r="E89" s="16" t="n">
        <v>50</v>
      </c>
      <c r="F89" s="16" t="n">
        <v>100</v>
      </c>
      <c r="G89" s="15" t="s">
        <v>36</v>
      </c>
      <c r="H89" s="17" t="s">
        <v>25</v>
      </c>
      <c r="I89" s="18" t="s">
        <v>26</v>
      </c>
      <c r="J89" s="15" t="n">
        <v>2024</v>
      </c>
      <c r="K89" s="19" t="s">
        <v>65</v>
      </c>
      <c r="L89" s="15" t="s">
        <v>28</v>
      </c>
      <c r="M89" s="15" t="s">
        <v>33</v>
      </c>
      <c r="N89" s="20" t="s">
        <v>270</v>
      </c>
      <c r="O89" s="15"/>
      <c r="P89" s="15"/>
      <c r="Q89" s="21"/>
      <c r="R89" s="21"/>
      <c r="S89" s="21"/>
      <c r="T89" s="28"/>
      <c r="U89" s="34"/>
    </row>
    <row r="90" s="25" customFormat="true" ht="41.4" hidden="false" customHeight="false" outlineLevel="0" collapsed="false">
      <c r="A90" s="12" t="s">
        <v>288</v>
      </c>
      <c r="B90" s="26"/>
      <c r="C90" s="14" t="s">
        <v>197</v>
      </c>
      <c r="D90" s="15" t="n">
        <v>4</v>
      </c>
      <c r="E90" s="16" t="n">
        <f aca="false">F90/2</f>
        <v>625</v>
      </c>
      <c r="F90" s="16" t="n">
        <v>1250</v>
      </c>
      <c r="G90" s="15" t="s">
        <v>36</v>
      </c>
      <c r="H90" s="17" t="s">
        <v>25</v>
      </c>
      <c r="I90" s="18" t="s">
        <v>26</v>
      </c>
      <c r="J90" s="15" t="n">
        <v>2025</v>
      </c>
      <c r="K90" s="19" t="s">
        <v>27</v>
      </c>
      <c r="L90" s="15" t="s">
        <v>28</v>
      </c>
      <c r="M90" s="15" t="s">
        <v>33</v>
      </c>
      <c r="N90" s="17"/>
      <c r="O90" s="15"/>
      <c r="P90" s="15"/>
      <c r="Q90" s="21"/>
      <c r="R90" s="21"/>
      <c r="S90" s="21"/>
      <c r="T90" s="28"/>
      <c r="U90" s="24"/>
    </row>
    <row r="91" s="25" customFormat="true" ht="41.4" hidden="false" customHeight="false" outlineLevel="0" collapsed="false">
      <c r="A91" s="36" t="s">
        <v>289</v>
      </c>
      <c r="B91" s="26" t="s">
        <v>290</v>
      </c>
      <c r="C91" s="14" t="s">
        <v>197</v>
      </c>
      <c r="D91" s="15" t="n">
        <v>4</v>
      </c>
      <c r="E91" s="16" t="n">
        <f aca="false">F91/2</f>
        <v>625</v>
      </c>
      <c r="F91" s="16" t="n">
        <v>1250</v>
      </c>
      <c r="G91" s="15" t="s">
        <v>36</v>
      </c>
      <c r="H91" s="17" t="s">
        <v>25</v>
      </c>
      <c r="I91" s="18" t="s">
        <v>26</v>
      </c>
      <c r="J91" s="15" t="n">
        <v>2020</v>
      </c>
      <c r="K91" s="19" t="s">
        <v>27</v>
      </c>
      <c r="L91" s="15" t="s">
        <v>28</v>
      </c>
      <c r="M91" s="15" t="s">
        <v>33</v>
      </c>
      <c r="N91" s="20"/>
      <c r="O91" s="15"/>
      <c r="P91" s="15"/>
      <c r="Q91" s="21"/>
      <c r="R91" s="21"/>
      <c r="S91" s="21"/>
      <c r="T91" s="28"/>
      <c r="U91" s="34"/>
    </row>
    <row r="92" s="25" customFormat="true" ht="41.4" hidden="false" customHeight="false" outlineLevel="0" collapsed="false">
      <c r="A92" s="36" t="s">
        <v>291</v>
      </c>
      <c r="B92" s="26"/>
      <c r="C92" s="14" t="s">
        <v>144</v>
      </c>
      <c r="D92" s="15" t="n">
        <v>4</v>
      </c>
      <c r="E92" s="16" t="n">
        <f aca="false">F92/2</f>
        <v>50</v>
      </c>
      <c r="F92" s="16" t="n">
        <v>100</v>
      </c>
      <c r="G92" s="15" t="s">
        <v>36</v>
      </c>
      <c r="H92" s="17" t="s">
        <v>25</v>
      </c>
      <c r="I92" s="18" t="s">
        <v>26</v>
      </c>
      <c r="J92" s="15" t="n">
        <v>2025</v>
      </c>
      <c r="K92" s="19" t="s">
        <v>145</v>
      </c>
      <c r="L92" s="15" t="s">
        <v>28</v>
      </c>
      <c r="M92" s="15" t="s">
        <v>33</v>
      </c>
      <c r="N92" s="17"/>
      <c r="O92" s="15"/>
      <c r="P92" s="15"/>
      <c r="Q92" s="21"/>
      <c r="R92" s="21"/>
      <c r="S92" s="21" t="s">
        <v>113</v>
      </c>
      <c r="T92" s="31" t="n">
        <v>45880</v>
      </c>
      <c r="U92" s="24"/>
    </row>
    <row r="93" s="25" customFormat="true" ht="41.4" hidden="false" customHeight="false" outlineLevel="0" collapsed="false">
      <c r="A93" s="36" t="s">
        <v>292</v>
      </c>
      <c r="B93" s="26"/>
      <c r="C93" s="14" t="s">
        <v>293</v>
      </c>
      <c r="D93" s="15" t="n">
        <v>4</v>
      </c>
      <c r="E93" s="16" t="n">
        <f aca="false">F93/2</f>
        <v>3120</v>
      </c>
      <c r="F93" s="16" t="n">
        <f aca="false">5200*1.2</f>
        <v>6240</v>
      </c>
      <c r="G93" s="15" t="s">
        <v>36</v>
      </c>
      <c r="H93" s="17" t="s">
        <v>25</v>
      </c>
      <c r="I93" s="18" t="s">
        <v>26</v>
      </c>
      <c r="J93" s="15" t="n">
        <v>2025</v>
      </c>
      <c r="K93" s="19" t="s">
        <v>27</v>
      </c>
      <c r="L93" s="15" t="s">
        <v>28</v>
      </c>
      <c r="M93" s="15" t="s">
        <v>33</v>
      </c>
      <c r="N93" s="17"/>
      <c r="O93" s="15"/>
      <c r="P93" s="15"/>
      <c r="Q93" s="21"/>
      <c r="R93" s="21"/>
      <c r="S93" s="21"/>
      <c r="T93" s="31" t="n">
        <v>45909</v>
      </c>
      <c r="U93" s="24"/>
    </row>
    <row r="94" s="25" customFormat="true" ht="41.4" hidden="false" customHeight="false" outlineLevel="0" collapsed="false">
      <c r="A94" s="36" t="s">
        <v>294</v>
      </c>
      <c r="B94" s="26" t="s">
        <v>295</v>
      </c>
      <c r="C94" s="14" t="s">
        <v>296</v>
      </c>
      <c r="D94" s="15" t="n">
        <v>4</v>
      </c>
      <c r="E94" s="16" t="n">
        <v>50</v>
      </c>
      <c r="F94" s="16" t="n">
        <v>100</v>
      </c>
      <c r="G94" s="15" t="s">
        <v>36</v>
      </c>
      <c r="H94" s="17" t="s">
        <v>25</v>
      </c>
      <c r="I94" s="18" t="s">
        <v>26</v>
      </c>
      <c r="J94" s="15"/>
      <c r="K94" s="19" t="s">
        <v>27</v>
      </c>
      <c r="L94" s="15" t="s">
        <v>28</v>
      </c>
      <c r="M94" s="15" t="s">
        <v>33</v>
      </c>
      <c r="N94" s="17"/>
      <c r="O94" s="15"/>
      <c r="P94" s="15"/>
      <c r="Q94" s="21" t="s">
        <v>78</v>
      </c>
      <c r="R94" s="21"/>
      <c r="S94" s="21"/>
      <c r="T94" s="28"/>
      <c r="U94" s="24"/>
    </row>
    <row r="95" s="25" customFormat="true" ht="41.4" hidden="false" customHeight="false" outlineLevel="0" collapsed="false">
      <c r="A95" s="36" t="s">
        <v>297</v>
      </c>
      <c r="B95" s="26" t="s">
        <v>298</v>
      </c>
      <c r="C95" s="14" t="s">
        <v>246</v>
      </c>
      <c r="D95" s="15" t="n">
        <v>6</v>
      </c>
      <c r="E95" s="27" t="n">
        <f aca="false">F95/2</f>
        <v>12820</v>
      </c>
      <c r="F95" s="38" t="n">
        <v>25640</v>
      </c>
      <c r="G95" s="15" t="s">
        <v>36</v>
      </c>
      <c r="H95" s="17" t="s">
        <v>25</v>
      </c>
      <c r="I95" s="18" t="s">
        <v>26</v>
      </c>
      <c r="J95" s="15" t="n">
        <v>2017</v>
      </c>
      <c r="K95" s="19" t="s">
        <v>27</v>
      </c>
      <c r="L95" s="15" t="s">
        <v>28</v>
      </c>
      <c r="M95" s="15" t="s">
        <v>33</v>
      </c>
      <c r="N95" s="17"/>
      <c r="O95" s="15"/>
      <c r="P95" s="15"/>
      <c r="Q95" s="21" t="s">
        <v>247</v>
      </c>
      <c r="R95" s="21"/>
      <c r="S95" s="21"/>
      <c r="T95" s="31" t="n">
        <v>45882</v>
      </c>
      <c r="U95" s="24" t="s">
        <v>248</v>
      </c>
    </row>
    <row r="96" s="25" customFormat="true" ht="41.4" hidden="false" customHeight="false" outlineLevel="0" collapsed="false">
      <c r="A96" s="36" t="s">
        <v>299</v>
      </c>
      <c r="B96" s="26" t="s">
        <v>300</v>
      </c>
      <c r="C96" s="14" t="s">
        <v>301</v>
      </c>
      <c r="D96" s="15" t="n">
        <v>12</v>
      </c>
      <c r="E96" s="27" t="n">
        <f aca="false">F96/2</f>
        <v>8796</v>
      </c>
      <c r="F96" s="16" t="n">
        <f aca="false">CEILING(14660*1.2,1)</f>
        <v>17592</v>
      </c>
      <c r="G96" s="15" t="s">
        <v>36</v>
      </c>
      <c r="H96" s="17" t="s">
        <v>25</v>
      </c>
      <c r="I96" s="18" t="s">
        <v>26</v>
      </c>
      <c r="J96" s="15" t="n">
        <v>2018</v>
      </c>
      <c r="K96" s="19" t="s">
        <v>27</v>
      </c>
      <c r="L96" s="15" t="s">
        <v>28</v>
      </c>
      <c r="M96" s="15" t="s">
        <v>33</v>
      </c>
      <c r="N96" s="17" t="s">
        <v>83</v>
      </c>
      <c r="O96" s="15" t="s">
        <v>203</v>
      </c>
      <c r="P96" s="15"/>
      <c r="Q96" s="21" t="s">
        <v>302</v>
      </c>
      <c r="R96" s="21"/>
      <c r="S96" s="21"/>
      <c r="T96" s="28"/>
      <c r="U96" s="24"/>
    </row>
    <row r="97" s="25" customFormat="true" ht="41.4" hidden="false" customHeight="false" outlineLevel="0" collapsed="false">
      <c r="A97" s="36" t="s">
        <v>303</v>
      </c>
      <c r="B97" s="26"/>
      <c r="C97" s="14" t="s">
        <v>81</v>
      </c>
      <c r="D97" s="15" t="n">
        <v>4</v>
      </c>
      <c r="E97" s="16" t="n">
        <f aca="false">F97/2</f>
        <v>50</v>
      </c>
      <c r="F97" s="16" t="n">
        <v>100</v>
      </c>
      <c r="G97" s="15" t="s">
        <v>36</v>
      </c>
      <c r="H97" s="17" t="s">
        <v>25</v>
      </c>
      <c r="I97" s="18" t="s">
        <v>26</v>
      </c>
      <c r="J97" s="15" t="n">
        <v>2024</v>
      </c>
      <c r="K97" s="19" t="s">
        <v>27</v>
      </c>
      <c r="L97" s="15" t="s">
        <v>304</v>
      </c>
      <c r="M97" s="15" t="s">
        <v>33</v>
      </c>
      <c r="N97" s="17" t="s">
        <v>83</v>
      </c>
      <c r="O97" s="15"/>
      <c r="P97" s="15"/>
      <c r="Q97" s="21"/>
      <c r="R97" s="21"/>
      <c r="S97" s="21"/>
      <c r="T97" s="28"/>
      <c r="U97" s="24"/>
    </row>
    <row r="98" s="25" customFormat="true" ht="41.4" hidden="false" customHeight="false" outlineLevel="0" collapsed="false">
      <c r="A98" s="36" t="s">
        <v>305</v>
      </c>
      <c r="B98" s="26" t="s">
        <v>306</v>
      </c>
      <c r="C98" s="14" t="s">
        <v>307</v>
      </c>
      <c r="D98" s="15" t="n">
        <v>4</v>
      </c>
      <c r="E98" s="27" t="n">
        <f aca="false">F98/2</f>
        <v>50</v>
      </c>
      <c r="F98" s="16" t="n">
        <v>100</v>
      </c>
      <c r="G98" s="15" t="s">
        <v>36</v>
      </c>
      <c r="H98" s="17" t="s">
        <v>25</v>
      </c>
      <c r="I98" s="18" t="s">
        <v>26</v>
      </c>
      <c r="J98" s="15" t="n">
        <v>2019</v>
      </c>
      <c r="K98" s="19" t="s">
        <v>27</v>
      </c>
      <c r="L98" s="15" t="s">
        <v>28</v>
      </c>
      <c r="M98" s="15" t="s">
        <v>33</v>
      </c>
      <c r="N98" s="17" t="s">
        <v>83</v>
      </c>
      <c r="O98" s="15" t="s">
        <v>203</v>
      </c>
      <c r="P98" s="15"/>
      <c r="Q98" s="21"/>
      <c r="R98" s="21"/>
      <c r="S98" s="21"/>
      <c r="T98" s="28"/>
      <c r="U98" s="34"/>
    </row>
    <row r="99" s="25" customFormat="true" ht="41.4" hidden="false" customHeight="false" outlineLevel="0" collapsed="false">
      <c r="A99" s="36" t="s">
        <v>308</v>
      </c>
      <c r="B99" s="26"/>
      <c r="C99" s="14"/>
      <c r="D99" s="15" t="n">
        <v>6</v>
      </c>
      <c r="E99" s="16" t="n">
        <f aca="false">F99/2</f>
        <v>6428.5</v>
      </c>
      <c r="F99" s="16" t="n">
        <v>12857</v>
      </c>
      <c r="G99" s="15" t="s">
        <v>36</v>
      </c>
      <c r="H99" s="17" t="s">
        <v>25</v>
      </c>
      <c r="I99" s="18" t="s">
        <v>26</v>
      </c>
      <c r="J99" s="15" t="n">
        <v>2025</v>
      </c>
      <c r="K99" s="19" t="s">
        <v>27</v>
      </c>
      <c r="L99" s="15" t="s">
        <v>28</v>
      </c>
      <c r="M99" s="15" t="s">
        <v>33</v>
      </c>
      <c r="N99" s="17"/>
      <c r="O99" s="15"/>
      <c r="P99" s="15"/>
      <c r="Q99" s="21"/>
      <c r="R99" s="21"/>
      <c r="S99" s="21"/>
      <c r="T99" s="28"/>
      <c r="U99" s="24"/>
    </row>
    <row r="100" s="25" customFormat="true" ht="41.4" hidden="false" customHeight="false" outlineLevel="0" collapsed="false">
      <c r="A100" s="36" t="s">
        <v>309</v>
      </c>
      <c r="B100" s="26" t="s">
        <v>310</v>
      </c>
      <c r="C100" s="14"/>
      <c r="D100" s="15" t="n">
        <v>6</v>
      </c>
      <c r="E100" s="27" t="n">
        <v>1200</v>
      </c>
      <c r="F100" s="16" t="n">
        <v>2400</v>
      </c>
      <c r="G100" s="15" t="s">
        <v>36</v>
      </c>
      <c r="H100" s="17" t="s">
        <v>25</v>
      </c>
      <c r="I100" s="18" t="s">
        <v>26</v>
      </c>
      <c r="J100" s="15" t="n">
        <v>2017</v>
      </c>
      <c r="K100" s="19" t="s">
        <v>27</v>
      </c>
      <c r="L100" s="15" t="s">
        <v>28</v>
      </c>
      <c r="M100" s="15" t="s">
        <v>33</v>
      </c>
      <c r="N100" s="17" t="s">
        <v>139</v>
      </c>
      <c r="O100" s="15"/>
      <c r="P100" s="15"/>
      <c r="Q100" s="21" t="s">
        <v>78</v>
      </c>
      <c r="R100" s="21"/>
      <c r="S100" s="21"/>
      <c r="T100" s="28"/>
      <c r="U100" s="24"/>
    </row>
    <row r="101" s="25" customFormat="true" ht="41.4" hidden="false" customHeight="false" outlineLevel="0" collapsed="false">
      <c r="A101" s="36" t="s">
        <v>311</v>
      </c>
      <c r="B101" s="26"/>
      <c r="C101" s="14" t="s">
        <v>312</v>
      </c>
      <c r="D101" s="15" t="n">
        <v>12</v>
      </c>
      <c r="E101" s="16" t="n">
        <f aca="false">F101/2</f>
        <v>18720</v>
      </c>
      <c r="F101" s="16" t="n">
        <f aca="false">31200*1.2</f>
        <v>37440</v>
      </c>
      <c r="G101" s="15" t="s">
        <v>36</v>
      </c>
      <c r="H101" s="17" t="s">
        <v>25</v>
      </c>
      <c r="I101" s="18" t="s">
        <v>26</v>
      </c>
      <c r="J101" s="15" t="n">
        <v>2025</v>
      </c>
      <c r="K101" s="19" t="s">
        <v>313</v>
      </c>
      <c r="L101" s="15" t="s">
        <v>28</v>
      </c>
      <c r="M101" s="15" t="s">
        <v>33</v>
      </c>
      <c r="N101" s="17"/>
      <c r="O101" s="15"/>
      <c r="P101" s="15"/>
      <c r="Q101" s="21"/>
      <c r="R101" s="21"/>
      <c r="S101" s="21"/>
      <c r="T101" s="28"/>
      <c r="U101" s="24"/>
    </row>
    <row r="102" s="25" customFormat="true" ht="41.4" hidden="false" customHeight="false" outlineLevel="0" collapsed="false">
      <c r="A102" s="36" t="s">
        <v>314</v>
      </c>
      <c r="B102" s="26" t="s">
        <v>315</v>
      </c>
      <c r="C102" s="14" t="s">
        <v>316</v>
      </c>
      <c r="D102" s="15" t="n">
        <v>2</v>
      </c>
      <c r="E102" s="27" t="n">
        <v>750</v>
      </c>
      <c r="F102" s="16" t="n">
        <v>1460</v>
      </c>
      <c r="G102" s="15" t="s">
        <v>24</v>
      </c>
      <c r="H102" s="17" t="s">
        <v>25</v>
      </c>
      <c r="I102" s="18" t="s">
        <v>26</v>
      </c>
      <c r="J102" s="15" t="n">
        <v>2017</v>
      </c>
      <c r="K102" s="19" t="s">
        <v>27</v>
      </c>
      <c r="L102" s="15" t="s">
        <v>28</v>
      </c>
      <c r="M102" s="15" t="s">
        <v>33</v>
      </c>
      <c r="N102" s="17" t="s">
        <v>83</v>
      </c>
      <c r="O102" s="15"/>
      <c r="P102" s="15"/>
      <c r="Q102" s="21" t="s">
        <v>302</v>
      </c>
      <c r="R102" s="21"/>
      <c r="S102" s="21"/>
      <c r="T102" s="28"/>
      <c r="U102" s="24"/>
    </row>
    <row r="103" s="25" customFormat="true" ht="41.4" hidden="false" customHeight="false" outlineLevel="0" collapsed="false">
      <c r="A103" s="36" t="s">
        <v>317</v>
      </c>
      <c r="B103" s="26" t="s">
        <v>318</v>
      </c>
      <c r="C103" s="14"/>
      <c r="D103" s="15" t="n">
        <v>6</v>
      </c>
      <c r="E103" s="27" t="n">
        <f aca="false">F103/2</f>
        <v>3855</v>
      </c>
      <c r="F103" s="16" t="n">
        <v>7710</v>
      </c>
      <c r="G103" s="15" t="s">
        <v>36</v>
      </c>
      <c r="H103" s="17" t="s">
        <v>25</v>
      </c>
      <c r="I103" s="18" t="s">
        <v>26</v>
      </c>
      <c r="J103" s="15" t="n">
        <v>2019</v>
      </c>
      <c r="K103" s="19" t="s">
        <v>27</v>
      </c>
      <c r="L103" s="15" t="s">
        <v>28</v>
      </c>
      <c r="M103" s="15" t="s">
        <v>33</v>
      </c>
      <c r="N103" s="17" t="s">
        <v>87</v>
      </c>
      <c r="O103" s="15" t="s">
        <v>203</v>
      </c>
      <c r="P103" s="15"/>
      <c r="Q103" s="21" t="s">
        <v>78</v>
      </c>
      <c r="R103" s="21"/>
      <c r="S103" s="21"/>
      <c r="T103" s="28"/>
      <c r="U103" s="24"/>
    </row>
    <row r="104" s="25" customFormat="true" ht="41.4" hidden="false" customHeight="false" outlineLevel="0" collapsed="false">
      <c r="A104" s="36" t="s">
        <v>319</v>
      </c>
      <c r="B104" s="26" t="s">
        <v>320</v>
      </c>
      <c r="C104" s="14"/>
      <c r="D104" s="15" t="n">
        <v>4</v>
      </c>
      <c r="E104" s="27" t="n">
        <f aca="false">F104/2</f>
        <v>700</v>
      </c>
      <c r="F104" s="16" t="n">
        <v>1400</v>
      </c>
      <c r="G104" s="15" t="s">
        <v>24</v>
      </c>
      <c r="H104" s="17" t="s">
        <v>25</v>
      </c>
      <c r="I104" s="18" t="s">
        <v>26</v>
      </c>
      <c r="J104" s="15" t="n">
        <v>2015</v>
      </c>
      <c r="K104" s="19" t="s">
        <v>52</v>
      </c>
      <c r="L104" s="15" t="s">
        <v>28</v>
      </c>
      <c r="M104" s="15" t="s">
        <v>33</v>
      </c>
      <c r="N104" s="17"/>
      <c r="O104" s="15"/>
      <c r="P104" s="15"/>
      <c r="Q104" s="21" t="s">
        <v>55</v>
      </c>
      <c r="R104" s="21"/>
      <c r="S104" s="21"/>
      <c r="T104" s="28"/>
      <c r="U104" s="24"/>
    </row>
    <row r="105" s="25" customFormat="true" ht="41.4" hidden="false" customHeight="false" outlineLevel="0" collapsed="false">
      <c r="A105" s="36" t="s">
        <v>321</v>
      </c>
      <c r="B105" s="26" t="s">
        <v>322</v>
      </c>
      <c r="C105" s="14" t="s">
        <v>323</v>
      </c>
      <c r="D105" s="15" t="n">
        <v>4</v>
      </c>
      <c r="E105" s="27" t="n">
        <f aca="false">F105/2</f>
        <v>2125</v>
      </c>
      <c r="F105" s="16" t="n">
        <v>4250</v>
      </c>
      <c r="G105" s="15" t="s">
        <v>36</v>
      </c>
      <c r="H105" s="17" t="s">
        <v>25</v>
      </c>
      <c r="I105" s="18" t="s">
        <v>26</v>
      </c>
      <c r="J105" s="15" t="n">
        <v>2019</v>
      </c>
      <c r="K105" s="19" t="s">
        <v>27</v>
      </c>
      <c r="L105" s="15" t="s">
        <v>28</v>
      </c>
      <c r="M105" s="15" t="s">
        <v>33</v>
      </c>
      <c r="N105" s="17" t="s">
        <v>83</v>
      </c>
      <c r="O105" s="15"/>
      <c r="P105" s="15"/>
      <c r="Q105" s="21" t="s">
        <v>302</v>
      </c>
      <c r="R105" s="21"/>
      <c r="S105" s="21"/>
      <c r="T105" s="28"/>
      <c r="U105" s="24"/>
    </row>
    <row r="106" s="25" customFormat="true" ht="41.4" hidden="false" customHeight="false" outlineLevel="0" collapsed="false">
      <c r="A106" s="36" t="s">
        <v>324</v>
      </c>
      <c r="B106" s="26" t="s">
        <v>325</v>
      </c>
      <c r="C106" s="14" t="s">
        <v>148</v>
      </c>
      <c r="D106" s="15" t="n">
        <v>6</v>
      </c>
      <c r="E106" s="27" t="n">
        <f aca="false">F106/2</f>
        <v>2621</v>
      </c>
      <c r="F106" s="35" t="n">
        <f aca="false">CEILING(4368*1.2,1)</f>
        <v>5242</v>
      </c>
      <c r="G106" s="15" t="s">
        <v>36</v>
      </c>
      <c r="H106" s="17" t="s">
        <v>25</v>
      </c>
      <c r="I106" s="18" t="s">
        <v>26</v>
      </c>
      <c r="J106" s="15" t="n">
        <v>2020</v>
      </c>
      <c r="K106" s="19" t="s">
        <v>27</v>
      </c>
      <c r="L106" s="15" t="s">
        <v>28</v>
      </c>
      <c r="M106" s="15" t="s">
        <v>33</v>
      </c>
      <c r="N106" s="17" t="s">
        <v>83</v>
      </c>
      <c r="O106" s="15" t="s">
        <v>203</v>
      </c>
      <c r="P106" s="15"/>
      <c r="Q106" s="21"/>
      <c r="R106" s="21"/>
      <c r="S106" s="21"/>
      <c r="T106" s="31" t="n">
        <v>45882</v>
      </c>
      <c r="U106" s="34"/>
    </row>
    <row r="107" s="25" customFormat="true" ht="41.4" hidden="false" customHeight="false" outlineLevel="0" collapsed="false">
      <c r="A107" s="36" t="s">
        <v>326</v>
      </c>
      <c r="B107" s="26" t="s">
        <v>325</v>
      </c>
      <c r="C107" s="14" t="s">
        <v>327</v>
      </c>
      <c r="D107" s="15" t="n">
        <v>4</v>
      </c>
      <c r="E107" s="27" t="n">
        <f aca="false">F107/2</f>
        <v>50</v>
      </c>
      <c r="F107" s="16" t="n">
        <v>100</v>
      </c>
      <c r="G107" s="15" t="s">
        <v>36</v>
      </c>
      <c r="H107" s="17" t="s">
        <v>25</v>
      </c>
      <c r="I107" s="18" t="s">
        <v>26</v>
      </c>
      <c r="J107" s="15" t="n">
        <v>2017</v>
      </c>
      <c r="K107" s="19" t="s">
        <v>27</v>
      </c>
      <c r="L107" s="15" t="s">
        <v>28</v>
      </c>
      <c r="M107" s="15" t="s">
        <v>33</v>
      </c>
      <c r="N107" s="20" t="s">
        <v>83</v>
      </c>
      <c r="O107" s="15"/>
      <c r="P107" s="15"/>
      <c r="Q107" s="21" t="s">
        <v>302</v>
      </c>
      <c r="R107" s="21"/>
      <c r="S107" s="21"/>
      <c r="T107" s="31" t="n">
        <v>45925</v>
      </c>
      <c r="U107" s="34"/>
    </row>
    <row r="108" s="25" customFormat="true" ht="41.4" hidden="false" customHeight="false" outlineLevel="0" collapsed="false">
      <c r="A108" s="36" t="s">
        <v>328</v>
      </c>
      <c r="B108" s="26" t="s">
        <v>329</v>
      </c>
      <c r="C108" s="14" t="s">
        <v>330</v>
      </c>
      <c r="D108" s="15" t="n">
        <v>4</v>
      </c>
      <c r="E108" s="27" t="n">
        <f aca="false">F108/2</f>
        <v>1400</v>
      </c>
      <c r="F108" s="16" t="n">
        <v>2800</v>
      </c>
      <c r="G108" s="15" t="s">
        <v>24</v>
      </c>
      <c r="H108" s="17" t="s">
        <v>25</v>
      </c>
      <c r="I108" s="18" t="s">
        <v>26</v>
      </c>
      <c r="J108" s="15" t="n">
        <v>2014</v>
      </c>
      <c r="K108" s="19" t="s">
        <v>27</v>
      </c>
      <c r="L108" s="15" t="s">
        <v>28</v>
      </c>
      <c r="M108" s="15" t="s">
        <v>33</v>
      </c>
      <c r="N108" s="17" t="s">
        <v>83</v>
      </c>
      <c r="O108" s="15"/>
      <c r="P108" s="15"/>
      <c r="Q108" s="21" t="s">
        <v>302</v>
      </c>
      <c r="R108" s="21"/>
      <c r="S108" s="21"/>
      <c r="T108" s="28"/>
      <c r="U108" s="24"/>
    </row>
    <row r="109" s="25" customFormat="true" ht="41.4" hidden="false" customHeight="false" outlineLevel="0" collapsed="false">
      <c r="A109" s="36" t="s">
        <v>331</v>
      </c>
      <c r="B109" s="26"/>
      <c r="C109" s="14" t="s">
        <v>332</v>
      </c>
      <c r="D109" s="15" t="n">
        <v>4</v>
      </c>
      <c r="E109" s="16" t="n">
        <f aca="false">F109/2</f>
        <v>3120</v>
      </c>
      <c r="F109" s="16" t="n">
        <f aca="false">5200*1.2</f>
        <v>6240</v>
      </c>
      <c r="G109" s="15" t="s">
        <v>36</v>
      </c>
      <c r="H109" s="17" t="s">
        <v>25</v>
      </c>
      <c r="I109" s="18" t="s">
        <v>26</v>
      </c>
      <c r="J109" s="15" t="n">
        <v>2025</v>
      </c>
      <c r="K109" s="19" t="s">
        <v>27</v>
      </c>
      <c r="L109" s="15" t="s">
        <v>28</v>
      </c>
      <c r="M109" s="15" t="s">
        <v>33</v>
      </c>
      <c r="N109" s="17"/>
      <c r="O109" s="15"/>
      <c r="P109" s="15"/>
      <c r="Q109" s="21"/>
      <c r="R109" s="21"/>
      <c r="S109" s="21"/>
      <c r="T109" s="28"/>
      <c r="U109" s="24"/>
    </row>
    <row r="110" s="25" customFormat="true" ht="41.4" hidden="false" customHeight="false" outlineLevel="0" collapsed="false">
      <c r="A110" s="36" t="s">
        <v>333</v>
      </c>
      <c r="B110" s="26" t="s">
        <v>334</v>
      </c>
      <c r="C110" s="14" t="s">
        <v>335</v>
      </c>
      <c r="D110" s="15" t="n">
        <v>6</v>
      </c>
      <c r="E110" s="27" t="n">
        <f aca="false">F110/2</f>
        <v>21600</v>
      </c>
      <c r="F110" s="16" t="n">
        <f aca="false">7200*6</f>
        <v>43200</v>
      </c>
      <c r="G110" s="15" t="s">
        <v>36</v>
      </c>
      <c r="H110" s="17" t="s">
        <v>25</v>
      </c>
      <c r="I110" s="18" t="s">
        <v>26</v>
      </c>
      <c r="J110" s="15" t="n">
        <v>2020</v>
      </c>
      <c r="K110" s="19" t="s">
        <v>27</v>
      </c>
      <c r="L110" s="15" t="s">
        <v>28</v>
      </c>
      <c r="M110" s="15" t="s">
        <v>33</v>
      </c>
      <c r="N110" s="20" t="s">
        <v>240</v>
      </c>
      <c r="O110" s="15" t="s">
        <v>46</v>
      </c>
      <c r="P110" s="15"/>
      <c r="Q110" s="21"/>
      <c r="R110" s="21"/>
      <c r="S110" s="21"/>
      <c r="T110" s="28"/>
      <c r="U110" s="34"/>
    </row>
    <row r="111" s="25" customFormat="true" ht="41.4" hidden="false" customHeight="false" outlineLevel="0" collapsed="false">
      <c r="A111" s="36" t="s">
        <v>336</v>
      </c>
      <c r="B111" s="26"/>
      <c r="C111" s="14" t="s">
        <v>337</v>
      </c>
      <c r="D111" s="15" t="n">
        <v>6</v>
      </c>
      <c r="E111" s="16" t="n">
        <f aca="false">F111/2</f>
        <v>936</v>
      </c>
      <c r="F111" s="16" t="n">
        <f aca="false">1560*1.2</f>
        <v>1872</v>
      </c>
      <c r="G111" s="15" t="s">
        <v>36</v>
      </c>
      <c r="H111" s="17" t="s">
        <v>25</v>
      </c>
      <c r="I111" s="18" t="s">
        <v>26</v>
      </c>
      <c r="J111" s="15" t="n">
        <v>2024</v>
      </c>
      <c r="K111" s="19" t="s">
        <v>27</v>
      </c>
      <c r="L111" s="15" t="s">
        <v>28</v>
      </c>
      <c r="M111" s="15" t="s">
        <v>33</v>
      </c>
      <c r="N111" s="17" t="s">
        <v>83</v>
      </c>
      <c r="O111" s="15"/>
      <c r="P111" s="15"/>
      <c r="Q111" s="21"/>
      <c r="R111" s="21"/>
      <c r="S111" s="21"/>
      <c r="T111" s="28"/>
      <c r="U111" s="34"/>
    </row>
    <row r="112" s="25" customFormat="true" ht="41.4" hidden="false" customHeight="false" outlineLevel="0" collapsed="false">
      <c r="A112" s="36" t="s">
        <v>338</v>
      </c>
      <c r="B112" s="26"/>
      <c r="C112" s="14" t="s">
        <v>339</v>
      </c>
      <c r="D112" s="15" t="n">
        <v>12</v>
      </c>
      <c r="E112" s="27" t="n">
        <f aca="false">F112/2</f>
        <v>4320</v>
      </c>
      <c r="F112" s="16" t="n">
        <f aca="false">7200*1.2</f>
        <v>8640</v>
      </c>
      <c r="G112" s="15" t="s">
        <v>36</v>
      </c>
      <c r="H112" s="17" t="s">
        <v>25</v>
      </c>
      <c r="I112" s="18" t="s">
        <v>26</v>
      </c>
      <c r="J112" s="15" t="n">
        <v>2023</v>
      </c>
      <c r="K112" s="19" t="s">
        <v>27</v>
      </c>
      <c r="L112" s="15" t="s">
        <v>28</v>
      </c>
      <c r="M112" s="15" t="s">
        <v>33</v>
      </c>
      <c r="N112" s="17" t="s">
        <v>270</v>
      </c>
      <c r="O112" s="15" t="s">
        <v>203</v>
      </c>
      <c r="P112" s="15"/>
      <c r="Q112" s="21"/>
      <c r="R112" s="21"/>
      <c r="S112" s="21"/>
      <c r="T112" s="28"/>
      <c r="U112" s="24"/>
    </row>
    <row r="113" s="25" customFormat="true" ht="41.4" hidden="false" customHeight="false" outlineLevel="0" collapsed="false">
      <c r="A113" s="36" t="s">
        <v>340</v>
      </c>
      <c r="B113" s="26"/>
      <c r="C113" s="14" t="s">
        <v>301</v>
      </c>
      <c r="D113" s="15" t="n">
        <v>6</v>
      </c>
      <c r="E113" s="27" t="n">
        <f aca="false">F113/2</f>
        <v>0</v>
      </c>
      <c r="F113" s="16"/>
      <c r="G113" s="15" t="s">
        <v>36</v>
      </c>
      <c r="H113" s="17" t="s">
        <v>25</v>
      </c>
      <c r="I113" s="18" t="s">
        <v>26</v>
      </c>
      <c r="J113" s="15" t="n">
        <v>2023</v>
      </c>
      <c r="K113" s="19" t="s">
        <v>27</v>
      </c>
      <c r="L113" s="15" t="s">
        <v>28</v>
      </c>
      <c r="M113" s="15" t="s">
        <v>33</v>
      </c>
      <c r="N113" s="17" t="s">
        <v>83</v>
      </c>
      <c r="O113" s="15"/>
      <c r="P113" s="15"/>
      <c r="Q113" s="21" t="s">
        <v>78</v>
      </c>
      <c r="R113" s="21"/>
      <c r="S113" s="21"/>
      <c r="T113" s="28"/>
      <c r="U113" s="24"/>
    </row>
    <row r="114" s="25" customFormat="true" ht="41.4" hidden="false" customHeight="false" outlineLevel="0" collapsed="false">
      <c r="A114" s="36" t="s">
        <v>341</v>
      </c>
      <c r="B114" s="26" t="s">
        <v>342</v>
      </c>
      <c r="C114" s="14"/>
      <c r="D114" s="15" t="n">
        <v>52</v>
      </c>
      <c r="E114" s="27" t="n">
        <f aca="false">F114/2</f>
        <v>1750</v>
      </c>
      <c r="F114" s="16" t="n">
        <v>3500</v>
      </c>
      <c r="G114" s="15" t="s">
        <v>24</v>
      </c>
      <c r="H114" s="17" t="s">
        <v>25</v>
      </c>
      <c r="I114" s="18" t="s">
        <v>26</v>
      </c>
      <c r="J114" s="15" t="n">
        <v>2000</v>
      </c>
      <c r="K114" s="19" t="s">
        <v>27</v>
      </c>
      <c r="L114" s="15" t="s">
        <v>103</v>
      </c>
      <c r="M114" s="15" t="s">
        <v>33</v>
      </c>
      <c r="N114" s="17" t="s">
        <v>343</v>
      </c>
      <c r="O114" s="15"/>
      <c r="P114" s="15"/>
      <c r="Q114" s="21" t="s">
        <v>344</v>
      </c>
      <c r="R114" s="21"/>
      <c r="S114" s="21"/>
      <c r="T114" s="28"/>
      <c r="U114" s="24" t="s">
        <v>345</v>
      </c>
    </row>
    <row r="115" s="25" customFormat="true" ht="41.4" hidden="false" customHeight="false" outlineLevel="0" collapsed="false">
      <c r="A115" s="36" t="s">
        <v>346</v>
      </c>
      <c r="B115" s="26" t="s">
        <v>347</v>
      </c>
      <c r="C115" s="14"/>
      <c r="D115" s="15" t="n">
        <v>24</v>
      </c>
      <c r="E115" s="27" t="n">
        <f aca="false">F115/2</f>
        <v>1200</v>
      </c>
      <c r="F115" s="16" t="n">
        <v>2400</v>
      </c>
      <c r="G115" s="15" t="s">
        <v>24</v>
      </c>
      <c r="H115" s="17" t="s">
        <v>25</v>
      </c>
      <c r="I115" s="18" t="s">
        <v>26</v>
      </c>
      <c r="J115" s="15" t="n">
        <v>2013</v>
      </c>
      <c r="K115" s="19" t="s">
        <v>27</v>
      </c>
      <c r="L115" s="15" t="s">
        <v>103</v>
      </c>
      <c r="M115" s="15" t="s">
        <v>33</v>
      </c>
      <c r="N115" s="17" t="s">
        <v>343</v>
      </c>
      <c r="O115" s="15"/>
      <c r="P115" s="15"/>
      <c r="Q115" s="21" t="s">
        <v>78</v>
      </c>
      <c r="R115" s="21"/>
      <c r="S115" s="21"/>
      <c r="T115" s="28"/>
      <c r="U115" s="24" t="s">
        <v>348</v>
      </c>
    </row>
    <row r="116" s="25" customFormat="true" ht="45.6" hidden="false" customHeight="false" outlineLevel="0" collapsed="false">
      <c r="A116" s="36" t="s">
        <v>349</v>
      </c>
      <c r="B116" s="26" t="s">
        <v>350</v>
      </c>
      <c r="C116" s="14"/>
      <c r="D116" s="15" t="n">
        <v>24</v>
      </c>
      <c r="E116" s="27" t="n">
        <f aca="false">F116/2</f>
        <v>600</v>
      </c>
      <c r="F116" s="16" t="n">
        <v>1200</v>
      </c>
      <c r="G116" s="15" t="s">
        <v>24</v>
      </c>
      <c r="H116" s="17" t="s">
        <v>25</v>
      </c>
      <c r="I116" s="18" t="s">
        <v>26</v>
      </c>
      <c r="J116" s="15" t="n">
        <v>2013</v>
      </c>
      <c r="K116" s="19" t="s">
        <v>27</v>
      </c>
      <c r="L116" s="15" t="s">
        <v>103</v>
      </c>
      <c r="M116" s="15" t="s">
        <v>33</v>
      </c>
      <c r="N116" s="17" t="s">
        <v>343</v>
      </c>
      <c r="O116" s="15"/>
      <c r="P116" s="15"/>
      <c r="Q116" s="21" t="s">
        <v>78</v>
      </c>
      <c r="R116" s="21"/>
      <c r="S116" s="21"/>
      <c r="T116" s="28"/>
      <c r="U116" s="24" t="s">
        <v>351</v>
      </c>
    </row>
    <row r="117" s="25" customFormat="true" ht="41.4" hidden="false" customHeight="false" outlineLevel="0" collapsed="false">
      <c r="A117" s="36" t="s">
        <v>352</v>
      </c>
      <c r="B117" s="26" t="s">
        <v>353</v>
      </c>
      <c r="C117" s="14"/>
      <c r="D117" s="15" t="n">
        <v>52</v>
      </c>
      <c r="E117" s="27" t="n">
        <v>320</v>
      </c>
      <c r="F117" s="16" t="n">
        <v>640</v>
      </c>
      <c r="G117" s="15" t="s">
        <v>354</v>
      </c>
      <c r="H117" s="17" t="s">
        <v>25</v>
      </c>
      <c r="I117" s="18" t="s">
        <v>26</v>
      </c>
      <c r="J117" s="15" t="n">
        <v>2013</v>
      </c>
      <c r="K117" s="19" t="s">
        <v>27</v>
      </c>
      <c r="L117" s="15" t="s">
        <v>103</v>
      </c>
      <c r="M117" s="15" t="s">
        <v>33</v>
      </c>
      <c r="N117" s="17" t="s">
        <v>343</v>
      </c>
      <c r="O117" s="15"/>
      <c r="P117" s="15"/>
      <c r="Q117" s="21" t="s">
        <v>78</v>
      </c>
      <c r="R117" s="21"/>
      <c r="S117" s="21"/>
      <c r="T117" s="28"/>
      <c r="U117" s="24"/>
    </row>
    <row r="118" s="25" customFormat="true" ht="45.6" hidden="false" customHeight="false" outlineLevel="0" collapsed="false">
      <c r="A118" s="36" t="s">
        <v>355</v>
      </c>
      <c r="B118" s="26" t="s">
        <v>356</v>
      </c>
      <c r="C118" s="14" t="s">
        <v>357</v>
      </c>
      <c r="D118" s="15" t="n">
        <v>12</v>
      </c>
      <c r="E118" s="27" t="n">
        <v>550</v>
      </c>
      <c r="F118" s="16" t="n">
        <v>1100</v>
      </c>
      <c r="G118" s="15" t="s">
        <v>354</v>
      </c>
      <c r="H118" s="17" t="s">
        <v>25</v>
      </c>
      <c r="I118" s="18" t="s">
        <v>26</v>
      </c>
      <c r="J118" s="15" t="n">
        <v>1997</v>
      </c>
      <c r="K118" s="19" t="s">
        <v>27</v>
      </c>
      <c r="L118" s="15" t="s">
        <v>28</v>
      </c>
      <c r="M118" s="15" t="s">
        <v>33</v>
      </c>
      <c r="N118" s="17" t="s">
        <v>40</v>
      </c>
      <c r="O118" s="15"/>
      <c r="P118" s="15"/>
      <c r="Q118" s="21" t="s">
        <v>41</v>
      </c>
      <c r="R118" s="21"/>
      <c r="S118" s="21"/>
      <c r="T118" s="28"/>
      <c r="U118" s="24" t="s">
        <v>358</v>
      </c>
    </row>
    <row r="119" s="25" customFormat="true" ht="41.4" hidden="false" customHeight="false" outlineLevel="0" collapsed="false">
      <c r="A119" s="36" t="s">
        <v>359</v>
      </c>
      <c r="B119" s="26" t="s">
        <v>360</v>
      </c>
      <c r="C119" s="14" t="s">
        <v>361</v>
      </c>
      <c r="D119" s="15" t="n">
        <v>6</v>
      </c>
      <c r="E119" s="27" t="n">
        <f aca="false">F119/2</f>
        <v>7500</v>
      </c>
      <c r="F119" s="16" t="n">
        <v>15000</v>
      </c>
      <c r="G119" s="15" t="s">
        <v>354</v>
      </c>
      <c r="H119" s="17" t="s">
        <v>25</v>
      </c>
      <c r="I119" s="18" t="s">
        <v>26</v>
      </c>
      <c r="J119" s="15" t="n">
        <v>2017</v>
      </c>
      <c r="K119" s="19" t="s">
        <v>27</v>
      </c>
      <c r="L119" s="15" t="s">
        <v>28</v>
      </c>
      <c r="M119" s="15" t="s">
        <v>33</v>
      </c>
      <c r="N119" s="17" t="s">
        <v>40</v>
      </c>
      <c r="O119" s="15"/>
      <c r="P119" s="15"/>
      <c r="Q119" s="21" t="s">
        <v>41</v>
      </c>
      <c r="R119" s="21"/>
      <c r="S119" s="21"/>
      <c r="T119" s="28"/>
      <c r="U119" s="24"/>
    </row>
    <row r="120" s="25" customFormat="true" ht="41.4" hidden="false" customHeight="false" outlineLevel="0" collapsed="false">
      <c r="A120" s="36" t="s">
        <v>362</v>
      </c>
      <c r="B120" s="26" t="s">
        <v>363</v>
      </c>
      <c r="C120" s="14" t="s">
        <v>364</v>
      </c>
      <c r="D120" s="15" t="n">
        <v>6</v>
      </c>
      <c r="E120" s="27" t="n">
        <v>450</v>
      </c>
      <c r="F120" s="16" t="n">
        <v>900</v>
      </c>
      <c r="G120" s="15" t="s">
        <v>24</v>
      </c>
      <c r="H120" s="17" t="s">
        <v>25</v>
      </c>
      <c r="I120" s="18" t="s">
        <v>26</v>
      </c>
      <c r="J120" s="15" t="n">
        <v>2017</v>
      </c>
      <c r="K120" s="19" t="s">
        <v>65</v>
      </c>
      <c r="L120" s="15" t="s">
        <v>28</v>
      </c>
      <c r="M120" s="15" t="s">
        <v>33</v>
      </c>
      <c r="N120" s="17" t="s">
        <v>83</v>
      </c>
      <c r="O120" s="15"/>
      <c r="P120" s="15"/>
      <c r="Q120" s="21" t="s">
        <v>302</v>
      </c>
      <c r="R120" s="21"/>
      <c r="S120" s="21"/>
      <c r="T120" s="28"/>
      <c r="U120" s="24"/>
    </row>
    <row r="121" s="25" customFormat="true" ht="41.4" hidden="false" customHeight="false" outlineLevel="0" collapsed="false">
      <c r="A121" s="36" t="s">
        <v>365</v>
      </c>
      <c r="B121" s="26" t="s">
        <v>366</v>
      </c>
      <c r="C121" s="14" t="s">
        <v>58</v>
      </c>
      <c r="D121" s="15" t="n">
        <v>4</v>
      </c>
      <c r="E121" s="27" t="n">
        <f aca="false">F121/2</f>
        <v>771</v>
      </c>
      <c r="F121" s="16" t="n">
        <f aca="false">1285*1.2</f>
        <v>1542</v>
      </c>
      <c r="G121" s="15" t="s">
        <v>24</v>
      </c>
      <c r="H121" s="17" t="s">
        <v>25</v>
      </c>
      <c r="I121" s="18" t="s">
        <v>26</v>
      </c>
      <c r="J121" s="15" t="n">
        <v>2006</v>
      </c>
      <c r="K121" s="19" t="s">
        <v>59</v>
      </c>
      <c r="L121" s="15" t="s">
        <v>28</v>
      </c>
      <c r="M121" s="15" t="s">
        <v>33</v>
      </c>
      <c r="N121" s="17" t="s">
        <v>175</v>
      </c>
      <c r="O121" s="15"/>
      <c r="P121" s="15"/>
      <c r="Q121" s="21" t="s">
        <v>47</v>
      </c>
      <c r="R121" s="21"/>
      <c r="S121" s="21"/>
      <c r="T121" s="31" t="n">
        <v>45917</v>
      </c>
      <c r="U121" s="24" t="s">
        <v>367</v>
      </c>
    </row>
    <row r="122" s="25" customFormat="true" ht="41.4" hidden="false" customHeight="false" outlineLevel="0" collapsed="false">
      <c r="A122" s="36" t="s">
        <v>368</v>
      </c>
      <c r="B122" s="26" t="s">
        <v>369</v>
      </c>
      <c r="C122" s="14" t="s">
        <v>197</v>
      </c>
      <c r="D122" s="15" t="n">
        <v>6</v>
      </c>
      <c r="E122" s="27" t="n">
        <f aca="false">F122/2</f>
        <v>2062.5</v>
      </c>
      <c r="F122" s="16" t="n">
        <v>4125</v>
      </c>
      <c r="G122" s="15" t="s">
        <v>36</v>
      </c>
      <c r="H122" s="17" t="s">
        <v>25</v>
      </c>
      <c r="I122" s="18" t="s">
        <v>26</v>
      </c>
      <c r="J122" s="15" t="n">
        <v>2020</v>
      </c>
      <c r="K122" s="19" t="s">
        <v>27</v>
      </c>
      <c r="L122" s="15" t="s">
        <v>28</v>
      </c>
      <c r="M122" s="15" t="s">
        <v>33</v>
      </c>
      <c r="N122" s="20" t="s">
        <v>175</v>
      </c>
      <c r="O122" s="15"/>
      <c r="P122" s="15"/>
      <c r="Q122" s="21"/>
      <c r="R122" s="21"/>
      <c r="S122" s="21"/>
      <c r="T122" s="28"/>
      <c r="U122" s="34"/>
    </row>
    <row r="123" s="25" customFormat="true" ht="41.4" hidden="false" customHeight="false" outlineLevel="0" collapsed="false">
      <c r="A123" s="36" t="s">
        <v>370</v>
      </c>
      <c r="B123" s="26" t="s">
        <v>371</v>
      </c>
      <c r="C123" s="14" t="s">
        <v>148</v>
      </c>
      <c r="D123" s="15" t="n">
        <v>6</v>
      </c>
      <c r="E123" s="27" t="n">
        <f aca="false">F123/2</f>
        <v>3459.5</v>
      </c>
      <c r="F123" s="35" t="n">
        <f aca="false">FLOOR(5766*1.2,1)</f>
        <v>6919</v>
      </c>
      <c r="G123" s="15" t="s">
        <v>36</v>
      </c>
      <c r="H123" s="17" t="s">
        <v>25</v>
      </c>
      <c r="I123" s="18" t="s">
        <v>26</v>
      </c>
      <c r="J123" s="15" t="n">
        <v>2020</v>
      </c>
      <c r="K123" s="19" t="s">
        <v>27</v>
      </c>
      <c r="L123" s="15" t="s">
        <v>28</v>
      </c>
      <c r="M123" s="15" t="s">
        <v>33</v>
      </c>
      <c r="N123" s="17" t="s">
        <v>83</v>
      </c>
      <c r="O123" s="15"/>
      <c r="P123" s="15"/>
      <c r="Q123" s="21"/>
      <c r="R123" s="21"/>
      <c r="S123" s="21"/>
      <c r="T123" s="31" t="n">
        <v>45882</v>
      </c>
      <c r="U123" s="34"/>
    </row>
    <row r="124" s="25" customFormat="true" ht="41.4" hidden="false" customHeight="false" outlineLevel="0" collapsed="false">
      <c r="A124" s="36" t="s">
        <v>372</v>
      </c>
      <c r="B124" s="26" t="s">
        <v>373</v>
      </c>
      <c r="C124" s="14" t="s">
        <v>374</v>
      </c>
      <c r="D124" s="15" t="n">
        <v>4</v>
      </c>
      <c r="E124" s="27" t="n">
        <f aca="false">F124/2</f>
        <v>2400</v>
      </c>
      <c r="F124" s="16" t="n">
        <v>4800</v>
      </c>
      <c r="G124" s="15" t="s">
        <v>36</v>
      </c>
      <c r="H124" s="17" t="s">
        <v>25</v>
      </c>
      <c r="I124" s="18" t="s">
        <v>26</v>
      </c>
      <c r="J124" s="15" t="n">
        <v>2021</v>
      </c>
      <c r="K124" s="19" t="s">
        <v>27</v>
      </c>
      <c r="L124" s="15" t="s">
        <v>28</v>
      </c>
      <c r="M124" s="15" t="s">
        <v>33</v>
      </c>
      <c r="N124" s="20" t="s">
        <v>375</v>
      </c>
      <c r="O124" s="15"/>
      <c r="P124" s="15"/>
      <c r="Q124" s="21"/>
      <c r="R124" s="21"/>
      <c r="S124" s="21"/>
      <c r="T124" s="28"/>
      <c r="U124" s="34"/>
    </row>
    <row r="125" s="25" customFormat="true" ht="41.4" hidden="false" customHeight="false" outlineLevel="0" collapsed="false">
      <c r="A125" s="36" t="s">
        <v>376</v>
      </c>
      <c r="B125" s="26"/>
      <c r="C125" s="14" t="s">
        <v>377</v>
      </c>
      <c r="D125" s="15" t="n">
        <v>4</v>
      </c>
      <c r="E125" s="27" t="n">
        <f aca="false">F125/2</f>
        <v>50</v>
      </c>
      <c r="F125" s="16" t="n">
        <v>100</v>
      </c>
      <c r="G125" s="15" t="s">
        <v>36</v>
      </c>
      <c r="H125" s="17" t="s">
        <v>25</v>
      </c>
      <c r="I125" s="18" t="s">
        <v>26</v>
      </c>
      <c r="J125" s="15" t="n">
        <v>2023</v>
      </c>
      <c r="K125" s="19" t="s">
        <v>378</v>
      </c>
      <c r="L125" s="15" t="s">
        <v>28</v>
      </c>
      <c r="M125" s="15" t="s">
        <v>33</v>
      </c>
      <c r="N125" s="17" t="s">
        <v>375</v>
      </c>
      <c r="O125" s="15"/>
      <c r="P125" s="15"/>
      <c r="Q125" s="21"/>
      <c r="R125" s="21"/>
      <c r="S125" s="21"/>
      <c r="T125" s="28"/>
      <c r="U125" s="24"/>
    </row>
    <row r="126" s="25" customFormat="true" ht="41.4" hidden="false" customHeight="false" outlineLevel="0" collapsed="false">
      <c r="A126" s="36" t="s">
        <v>379</v>
      </c>
      <c r="B126" s="26" t="s">
        <v>380</v>
      </c>
      <c r="C126" s="14" t="s">
        <v>246</v>
      </c>
      <c r="D126" s="15" t="n">
        <v>6</v>
      </c>
      <c r="E126" s="27" t="n">
        <f aca="false">F126/2</f>
        <v>10295</v>
      </c>
      <c r="F126" s="38" t="n">
        <v>20590</v>
      </c>
      <c r="G126" s="15" t="s">
        <v>36</v>
      </c>
      <c r="H126" s="17" t="s">
        <v>25</v>
      </c>
      <c r="I126" s="18" t="s">
        <v>26</v>
      </c>
      <c r="J126" s="15" t="n">
        <v>2017</v>
      </c>
      <c r="K126" s="19" t="s">
        <v>27</v>
      </c>
      <c r="L126" s="15" t="s">
        <v>28</v>
      </c>
      <c r="M126" s="15" t="s">
        <v>33</v>
      </c>
      <c r="N126" s="17" t="s">
        <v>381</v>
      </c>
      <c r="O126" s="15"/>
      <c r="P126" s="15"/>
      <c r="Q126" s="21" t="s">
        <v>247</v>
      </c>
      <c r="R126" s="21"/>
      <c r="S126" s="21"/>
      <c r="T126" s="31" t="n">
        <v>45882</v>
      </c>
      <c r="U126" s="24" t="s">
        <v>248</v>
      </c>
    </row>
    <row r="127" s="25" customFormat="true" ht="41.4" hidden="false" customHeight="false" outlineLevel="0" collapsed="false">
      <c r="A127" s="36" t="s">
        <v>382</v>
      </c>
      <c r="B127" s="26" t="s">
        <v>383</v>
      </c>
      <c r="C127" s="14" t="s">
        <v>246</v>
      </c>
      <c r="D127" s="15" t="n">
        <v>12</v>
      </c>
      <c r="E127" s="27" t="n">
        <f aca="false">F127/2</f>
        <v>25640</v>
      </c>
      <c r="F127" s="38" t="n">
        <v>51280</v>
      </c>
      <c r="G127" s="15" t="s">
        <v>36</v>
      </c>
      <c r="H127" s="17" t="s">
        <v>25</v>
      </c>
      <c r="I127" s="18" t="s">
        <v>26</v>
      </c>
      <c r="J127" s="15" t="n">
        <v>2017</v>
      </c>
      <c r="K127" s="19" t="s">
        <v>27</v>
      </c>
      <c r="L127" s="15" t="s">
        <v>28</v>
      </c>
      <c r="M127" s="15" t="s">
        <v>33</v>
      </c>
      <c r="N127" s="17" t="s">
        <v>381</v>
      </c>
      <c r="O127" s="15"/>
      <c r="P127" s="15"/>
      <c r="Q127" s="21" t="s">
        <v>247</v>
      </c>
      <c r="R127" s="21"/>
      <c r="S127" s="21"/>
      <c r="T127" s="31" t="n">
        <v>45882</v>
      </c>
      <c r="U127" s="24" t="s">
        <v>248</v>
      </c>
    </row>
    <row r="128" s="25" customFormat="true" ht="45.6" hidden="false" customHeight="false" outlineLevel="0" collapsed="false">
      <c r="A128" s="36" t="s">
        <v>384</v>
      </c>
      <c r="B128" s="26" t="s">
        <v>385</v>
      </c>
      <c r="C128" s="14" t="s">
        <v>386</v>
      </c>
      <c r="D128" s="15" t="n">
        <v>4</v>
      </c>
      <c r="E128" s="27" t="n">
        <f aca="false">F128/2</f>
        <v>50</v>
      </c>
      <c r="F128" s="16" t="n">
        <v>100</v>
      </c>
      <c r="G128" s="15" t="s">
        <v>36</v>
      </c>
      <c r="H128" s="17" t="s">
        <v>25</v>
      </c>
      <c r="I128" s="18" t="s">
        <v>26</v>
      </c>
      <c r="J128" s="15" t="n">
        <v>2014</v>
      </c>
      <c r="K128" s="19" t="s">
        <v>59</v>
      </c>
      <c r="L128" s="15" t="s">
        <v>28</v>
      </c>
      <c r="M128" s="15" t="s">
        <v>33</v>
      </c>
      <c r="N128" s="17" t="s">
        <v>83</v>
      </c>
      <c r="O128" s="15" t="s">
        <v>46</v>
      </c>
      <c r="P128" s="15"/>
      <c r="Q128" s="21" t="s">
        <v>302</v>
      </c>
      <c r="R128" s="21"/>
      <c r="S128" s="21"/>
      <c r="T128" s="28"/>
      <c r="U128" s="24" t="s">
        <v>387</v>
      </c>
    </row>
    <row r="129" s="25" customFormat="true" ht="41.4" hidden="false" customHeight="false" outlineLevel="0" collapsed="false">
      <c r="A129" s="36" t="s">
        <v>388</v>
      </c>
      <c r="B129" s="26" t="s">
        <v>389</v>
      </c>
      <c r="C129" s="14" t="s">
        <v>390</v>
      </c>
      <c r="D129" s="15" t="n">
        <v>3</v>
      </c>
      <c r="E129" s="27" t="n">
        <f aca="false">F129/2</f>
        <v>945</v>
      </c>
      <c r="F129" s="16" t="n">
        <v>1890</v>
      </c>
      <c r="G129" s="15" t="s">
        <v>24</v>
      </c>
      <c r="H129" s="17" t="s">
        <v>25</v>
      </c>
      <c r="I129" s="18" t="s">
        <v>26</v>
      </c>
      <c r="J129" s="15" t="n">
        <v>2001</v>
      </c>
      <c r="K129" s="19" t="s">
        <v>27</v>
      </c>
      <c r="L129" s="15" t="s">
        <v>28</v>
      </c>
      <c r="M129" s="15" t="s">
        <v>33</v>
      </c>
      <c r="N129" s="17" t="s">
        <v>83</v>
      </c>
      <c r="O129" s="15"/>
      <c r="P129" s="15"/>
      <c r="Q129" s="21" t="s">
        <v>302</v>
      </c>
      <c r="R129" s="21"/>
      <c r="S129" s="21"/>
      <c r="T129" s="28"/>
      <c r="U129" s="24"/>
    </row>
    <row r="130" s="25" customFormat="true" ht="41.4" hidden="false" customHeight="false" outlineLevel="0" collapsed="false">
      <c r="A130" s="36" t="s">
        <v>391</v>
      </c>
      <c r="B130" s="26" t="s">
        <v>392</v>
      </c>
      <c r="C130" s="14" t="s">
        <v>393</v>
      </c>
      <c r="D130" s="15" t="n">
        <v>4</v>
      </c>
      <c r="E130" s="27" t="n">
        <f aca="false">F130/2</f>
        <v>500</v>
      </c>
      <c r="F130" s="16" t="n">
        <v>1000</v>
      </c>
      <c r="G130" s="15" t="s">
        <v>36</v>
      </c>
      <c r="H130" s="17" t="s">
        <v>25</v>
      </c>
      <c r="I130" s="18" t="s">
        <v>26</v>
      </c>
      <c r="J130" s="15" t="n">
        <v>2009</v>
      </c>
      <c r="K130" s="19" t="s">
        <v>394</v>
      </c>
      <c r="L130" s="15" t="s">
        <v>28</v>
      </c>
      <c r="M130" s="15" t="s">
        <v>33</v>
      </c>
      <c r="N130" s="20" t="s">
        <v>153</v>
      </c>
      <c r="O130" s="15"/>
      <c r="P130" s="15"/>
      <c r="Q130" s="21"/>
      <c r="R130" s="21"/>
      <c r="S130" s="21"/>
      <c r="T130" s="28"/>
      <c r="U130" s="34"/>
    </row>
    <row r="131" s="25" customFormat="true" ht="68.4" hidden="false" customHeight="false" outlineLevel="0" collapsed="false">
      <c r="A131" s="36" t="s">
        <v>395</v>
      </c>
      <c r="B131" s="26" t="s">
        <v>396</v>
      </c>
      <c r="C131" s="14"/>
      <c r="D131" s="15" t="n">
        <v>12</v>
      </c>
      <c r="E131" s="27" t="n">
        <v>2000</v>
      </c>
      <c r="F131" s="16" t="n">
        <v>4000</v>
      </c>
      <c r="G131" s="15" t="s">
        <v>24</v>
      </c>
      <c r="H131" s="17" t="s">
        <v>25</v>
      </c>
      <c r="I131" s="18" t="s">
        <v>26</v>
      </c>
      <c r="J131" s="15" t="n">
        <v>2000</v>
      </c>
      <c r="K131" s="19" t="s">
        <v>27</v>
      </c>
      <c r="L131" s="15" t="s">
        <v>28</v>
      </c>
      <c r="M131" s="15" t="s">
        <v>33</v>
      </c>
      <c r="N131" s="17" t="s">
        <v>397</v>
      </c>
      <c r="O131" s="15"/>
      <c r="P131" s="15"/>
      <c r="Q131" s="21" t="s">
        <v>41</v>
      </c>
      <c r="R131" s="21"/>
      <c r="S131" s="21"/>
      <c r="T131" s="28"/>
      <c r="U131" s="24" t="s">
        <v>398</v>
      </c>
    </row>
    <row r="132" s="25" customFormat="true" ht="41.4" hidden="false" customHeight="false" outlineLevel="0" collapsed="false">
      <c r="A132" s="36" t="s">
        <v>399</v>
      </c>
      <c r="B132" s="26" t="s">
        <v>400</v>
      </c>
      <c r="C132" s="14" t="s">
        <v>401</v>
      </c>
      <c r="D132" s="15" t="n">
        <v>12</v>
      </c>
      <c r="E132" s="27" t="n">
        <f aca="false">F132/2</f>
        <v>9600</v>
      </c>
      <c r="F132" s="16" t="n">
        <v>19200</v>
      </c>
      <c r="G132" s="15" t="s">
        <v>36</v>
      </c>
      <c r="H132" s="17" t="s">
        <v>25</v>
      </c>
      <c r="I132" s="18" t="s">
        <v>26</v>
      </c>
      <c r="J132" s="15" t="n">
        <v>2018</v>
      </c>
      <c r="K132" s="19" t="s">
        <v>27</v>
      </c>
      <c r="L132" s="15" t="s">
        <v>28</v>
      </c>
      <c r="M132" s="15" t="s">
        <v>33</v>
      </c>
      <c r="N132" s="17" t="s">
        <v>53</v>
      </c>
      <c r="O132" s="15"/>
      <c r="P132" s="15"/>
      <c r="Q132" s="21" t="s">
        <v>78</v>
      </c>
      <c r="R132" s="21"/>
      <c r="S132" s="21"/>
      <c r="T132" s="28"/>
      <c r="U132" s="24"/>
    </row>
    <row r="133" s="25" customFormat="true" ht="41.4" hidden="false" customHeight="false" outlineLevel="0" collapsed="false">
      <c r="A133" s="36" t="s">
        <v>402</v>
      </c>
      <c r="B133" s="26" t="s">
        <v>403</v>
      </c>
      <c r="C133" s="14" t="s">
        <v>404</v>
      </c>
      <c r="D133" s="15" t="n">
        <v>4</v>
      </c>
      <c r="E133" s="27" t="n">
        <f aca="false">F133/2</f>
        <v>3600</v>
      </c>
      <c r="F133" s="16" t="n">
        <v>7200</v>
      </c>
      <c r="G133" s="15" t="s">
        <v>36</v>
      </c>
      <c r="H133" s="17" t="s">
        <v>25</v>
      </c>
      <c r="I133" s="18" t="s">
        <v>26</v>
      </c>
      <c r="J133" s="15" t="n">
        <v>2016</v>
      </c>
      <c r="K133" s="19" t="s">
        <v>27</v>
      </c>
      <c r="L133" s="15" t="s">
        <v>28</v>
      </c>
      <c r="M133" s="15" t="s">
        <v>33</v>
      </c>
      <c r="N133" s="17" t="s">
        <v>53</v>
      </c>
      <c r="O133" s="15" t="s">
        <v>54</v>
      </c>
      <c r="P133" s="15"/>
      <c r="Q133" s="21" t="s">
        <v>405</v>
      </c>
      <c r="R133" s="21" t="s">
        <v>30</v>
      </c>
      <c r="S133" s="21"/>
      <c r="T133" s="31" t="n">
        <v>45848</v>
      </c>
      <c r="U133" s="24" t="s">
        <v>406</v>
      </c>
    </row>
    <row r="134" s="25" customFormat="true" ht="41.4" hidden="false" customHeight="false" outlineLevel="0" collapsed="false">
      <c r="A134" s="36" t="s">
        <v>407</v>
      </c>
      <c r="B134" s="26" t="s">
        <v>408</v>
      </c>
      <c r="C134" s="14"/>
      <c r="D134" s="15" t="n">
        <v>4</v>
      </c>
      <c r="E134" s="27" t="n">
        <f aca="false">F134/2</f>
        <v>50</v>
      </c>
      <c r="F134" s="16" t="n">
        <v>100</v>
      </c>
      <c r="G134" s="15" t="s">
        <v>36</v>
      </c>
      <c r="H134" s="17" t="s">
        <v>25</v>
      </c>
      <c r="I134" s="18" t="s">
        <v>26</v>
      </c>
      <c r="J134" s="15" t="n">
        <v>2014</v>
      </c>
      <c r="K134" s="19" t="s">
        <v>27</v>
      </c>
      <c r="L134" s="15" t="s">
        <v>28</v>
      </c>
      <c r="M134" s="15" t="s">
        <v>33</v>
      </c>
      <c r="N134" s="17" t="s">
        <v>167</v>
      </c>
      <c r="O134" s="15"/>
      <c r="P134" s="15"/>
      <c r="Q134" s="21" t="s">
        <v>168</v>
      </c>
      <c r="R134" s="21"/>
      <c r="S134" s="21"/>
      <c r="T134" s="28"/>
      <c r="U134" s="24"/>
    </row>
    <row r="135" s="25" customFormat="true" ht="41.4" hidden="false" customHeight="false" outlineLevel="0" collapsed="false">
      <c r="A135" s="36" t="s">
        <v>409</v>
      </c>
      <c r="B135" s="26" t="s">
        <v>410</v>
      </c>
      <c r="C135" s="14" t="s">
        <v>122</v>
      </c>
      <c r="D135" s="15" t="n">
        <v>12</v>
      </c>
      <c r="E135" s="16" t="n">
        <v>23628</v>
      </c>
      <c r="F135" s="16" t="n">
        <v>39204</v>
      </c>
      <c r="G135" s="15" t="s">
        <v>36</v>
      </c>
      <c r="H135" s="17" t="s">
        <v>25</v>
      </c>
      <c r="I135" s="18" t="s">
        <v>26</v>
      </c>
      <c r="J135" s="15" t="n">
        <v>2017</v>
      </c>
      <c r="K135" s="19" t="s">
        <v>27</v>
      </c>
      <c r="L135" s="15" t="s">
        <v>28</v>
      </c>
      <c r="M135" s="15" t="s">
        <v>33</v>
      </c>
      <c r="N135" s="17"/>
      <c r="O135" s="15"/>
      <c r="P135" s="15"/>
      <c r="Q135" s="21"/>
      <c r="R135" s="21"/>
      <c r="S135" s="21"/>
      <c r="T135" s="28"/>
      <c r="U135" s="24"/>
    </row>
    <row r="136" s="25" customFormat="true" ht="41.4" hidden="false" customHeight="false" outlineLevel="0" collapsed="false">
      <c r="A136" s="36" t="s">
        <v>411</v>
      </c>
      <c r="B136" s="26" t="s">
        <v>412</v>
      </c>
      <c r="C136" s="14" t="s">
        <v>39</v>
      </c>
      <c r="D136" s="15" t="n">
        <v>6</v>
      </c>
      <c r="E136" s="27" t="n">
        <f aca="false">F136/2</f>
        <v>2200</v>
      </c>
      <c r="F136" s="16" t="n">
        <v>4400</v>
      </c>
      <c r="G136" s="15" t="s">
        <v>354</v>
      </c>
      <c r="H136" s="17" t="s">
        <v>25</v>
      </c>
      <c r="I136" s="18" t="s">
        <v>26</v>
      </c>
      <c r="J136" s="15" t="n">
        <v>2018</v>
      </c>
      <c r="K136" s="19" t="s">
        <v>27</v>
      </c>
      <c r="L136" s="15" t="s">
        <v>28</v>
      </c>
      <c r="M136" s="15" t="s">
        <v>33</v>
      </c>
      <c r="N136" s="17"/>
      <c r="O136" s="15"/>
      <c r="P136" s="15"/>
      <c r="Q136" s="21" t="s">
        <v>41</v>
      </c>
      <c r="R136" s="21"/>
      <c r="S136" s="21"/>
      <c r="T136" s="28"/>
      <c r="U136" s="24"/>
    </row>
    <row r="137" s="25" customFormat="true" ht="41.4" hidden="false" customHeight="false" outlineLevel="0" collapsed="false">
      <c r="A137" s="36" t="s">
        <v>413</v>
      </c>
      <c r="B137" s="26"/>
      <c r="C137" s="14" t="s">
        <v>414</v>
      </c>
      <c r="D137" s="15" t="n">
        <v>12</v>
      </c>
      <c r="E137" s="27" t="n">
        <f aca="false">F137/2</f>
        <v>15000</v>
      </c>
      <c r="F137" s="16" t="n">
        <v>30000</v>
      </c>
      <c r="G137" s="15" t="s">
        <v>36</v>
      </c>
      <c r="H137" s="17" t="s">
        <v>25</v>
      </c>
      <c r="I137" s="18" t="s">
        <v>26</v>
      </c>
      <c r="J137" s="15" t="n">
        <v>2025</v>
      </c>
      <c r="K137" s="19" t="s">
        <v>27</v>
      </c>
      <c r="L137" s="15" t="s">
        <v>28</v>
      </c>
      <c r="M137" s="15" t="s">
        <v>33</v>
      </c>
      <c r="N137" s="17" t="s">
        <v>415</v>
      </c>
      <c r="O137" s="15"/>
      <c r="P137" s="15"/>
      <c r="Q137" s="21"/>
      <c r="R137" s="21"/>
      <c r="S137" s="21"/>
      <c r="T137" s="28"/>
      <c r="U137" s="24"/>
    </row>
    <row r="138" s="25" customFormat="true" ht="41.4" hidden="false" customHeight="false" outlineLevel="0" collapsed="false">
      <c r="A138" s="36" t="s">
        <v>416</v>
      </c>
      <c r="B138" s="26" t="s">
        <v>417</v>
      </c>
      <c r="C138" s="14" t="s">
        <v>418</v>
      </c>
      <c r="D138" s="15" t="n">
        <v>12</v>
      </c>
      <c r="E138" s="27" t="n">
        <v>9000</v>
      </c>
      <c r="F138" s="16" t="n">
        <v>16200</v>
      </c>
      <c r="G138" s="15" t="s">
        <v>36</v>
      </c>
      <c r="H138" s="17" t="s">
        <v>25</v>
      </c>
      <c r="I138" s="18" t="s">
        <v>26</v>
      </c>
      <c r="J138" s="15" t="n">
        <v>2012</v>
      </c>
      <c r="K138" s="19" t="s">
        <v>27</v>
      </c>
      <c r="L138" s="15" t="s">
        <v>28</v>
      </c>
      <c r="M138" s="15" t="s">
        <v>33</v>
      </c>
      <c r="N138" s="17" t="s">
        <v>415</v>
      </c>
      <c r="O138" s="15"/>
      <c r="P138" s="15"/>
      <c r="Q138" s="21" t="s">
        <v>419</v>
      </c>
      <c r="R138" s="21"/>
      <c r="S138" s="21"/>
      <c r="T138" s="28"/>
      <c r="U138" s="24" t="s">
        <v>420</v>
      </c>
    </row>
    <row r="139" s="25" customFormat="true" ht="41.4" hidden="false" customHeight="false" outlineLevel="0" collapsed="false">
      <c r="A139" s="36" t="s">
        <v>421</v>
      </c>
      <c r="B139" s="26" t="s">
        <v>422</v>
      </c>
      <c r="C139" s="14" t="s">
        <v>423</v>
      </c>
      <c r="D139" s="15" t="n">
        <v>12</v>
      </c>
      <c r="E139" s="27" t="n">
        <f aca="false">F139/2</f>
        <v>15332</v>
      </c>
      <c r="F139" s="16" t="n">
        <v>30664</v>
      </c>
      <c r="G139" s="15" t="s">
        <v>36</v>
      </c>
      <c r="H139" s="17" t="s">
        <v>25</v>
      </c>
      <c r="I139" s="18" t="s">
        <v>26</v>
      </c>
      <c r="J139" s="15" t="n">
        <v>2013</v>
      </c>
      <c r="K139" s="19" t="s">
        <v>27</v>
      </c>
      <c r="L139" s="15" t="s">
        <v>28</v>
      </c>
      <c r="M139" s="15" t="s">
        <v>33</v>
      </c>
      <c r="N139" s="17" t="s">
        <v>415</v>
      </c>
      <c r="O139" s="15"/>
      <c r="P139" s="15"/>
      <c r="Q139" s="21" t="s">
        <v>55</v>
      </c>
      <c r="R139" s="21"/>
      <c r="S139" s="21"/>
      <c r="T139" s="31" t="n">
        <v>45880</v>
      </c>
      <c r="U139" s="24" t="s">
        <v>424</v>
      </c>
    </row>
    <row r="140" s="25" customFormat="true" ht="41.4" hidden="false" customHeight="false" outlineLevel="0" collapsed="false">
      <c r="A140" s="36" t="s">
        <v>425</v>
      </c>
      <c r="B140" s="26"/>
      <c r="C140" s="14" t="s">
        <v>426</v>
      </c>
      <c r="D140" s="15" t="n">
        <v>2</v>
      </c>
      <c r="E140" s="27" t="n">
        <f aca="false">F140/2</f>
        <v>50</v>
      </c>
      <c r="F140" s="16" t="n">
        <v>100</v>
      </c>
      <c r="G140" s="15" t="s">
        <v>36</v>
      </c>
      <c r="H140" s="17" t="s">
        <v>25</v>
      </c>
      <c r="I140" s="18" t="s">
        <v>26</v>
      </c>
      <c r="J140" s="15" t="n">
        <v>2025</v>
      </c>
      <c r="K140" s="19" t="s">
        <v>427</v>
      </c>
      <c r="L140" s="15" t="s">
        <v>28</v>
      </c>
      <c r="M140" s="15" t="s">
        <v>33</v>
      </c>
      <c r="N140" s="17"/>
      <c r="O140" s="15"/>
      <c r="P140" s="15"/>
      <c r="Q140" s="21" t="s">
        <v>78</v>
      </c>
      <c r="R140" s="21"/>
      <c r="S140" s="21"/>
      <c r="T140" s="28"/>
      <c r="U140" s="24"/>
    </row>
    <row r="141" s="25" customFormat="true" ht="105.6" hidden="false" customHeight="true" outlineLevel="0" collapsed="false">
      <c r="A141" s="36" t="s">
        <v>428</v>
      </c>
      <c r="B141" s="26"/>
      <c r="C141" s="14" t="s">
        <v>122</v>
      </c>
      <c r="D141" s="15" t="n">
        <v>12</v>
      </c>
      <c r="E141" s="27" t="n">
        <v>14190</v>
      </c>
      <c r="F141" s="16" t="n">
        <v>28380</v>
      </c>
      <c r="G141" s="15" t="s">
        <v>36</v>
      </c>
      <c r="H141" s="17" t="s">
        <v>25</v>
      </c>
      <c r="I141" s="18" t="s">
        <v>26</v>
      </c>
      <c r="J141" s="15" t="n">
        <v>2025</v>
      </c>
      <c r="K141" s="19" t="s">
        <v>27</v>
      </c>
      <c r="L141" s="15" t="s">
        <v>28</v>
      </c>
      <c r="M141" s="15" t="s">
        <v>33</v>
      </c>
      <c r="N141" s="17"/>
      <c r="O141" s="15"/>
      <c r="P141" s="15"/>
      <c r="Q141" s="21"/>
      <c r="R141" s="21"/>
      <c r="S141" s="21"/>
      <c r="T141" s="28"/>
      <c r="U141" s="24"/>
    </row>
    <row r="142" s="25" customFormat="true" ht="68.4" hidden="false" customHeight="true" outlineLevel="0" collapsed="false">
      <c r="A142" s="36" t="s">
        <v>429</v>
      </c>
      <c r="B142" s="26" t="s">
        <v>430</v>
      </c>
      <c r="C142" s="14" t="s">
        <v>122</v>
      </c>
      <c r="D142" s="15" t="n">
        <v>12</v>
      </c>
      <c r="E142" s="16" t="n">
        <v>23628</v>
      </c>
      <c r="F142" s="16" t="n">
        <v>39204</v>
      </c>
      <c r="G142" s="15" t="s">
        <v>36</v>
      </c>
      <c r="H142" s="17" t="s">
        <v>25</v>
      </c>
      <c r="I142" s="18" t="s">
        <v>26</v>
      </c>
      <c r="J142" s="15" t="n">
        <v>2017</v>
      </c>
      <c r="K142" s="19" t="s">
        <v>27</v>
      </c>
      <c r="L142" s="15" t="s">
        <v>28</v>
      </c>
      <c r="M142" s="15" t="s">
        <v>33</v>
      </c>
      <c r="N142" s="17" t="s">
        <v>431</v>
      </c>
      <c r="O142" s="15"/>
      <c r="P142" s="15"/>
      <c r="Q142" s="21"/>
      <c r="R142" s="21"/>
      <c r="S142" s="21"/>
      <c r="T142" s="28"/>
      <c r="U142" s="24"/>
    </row>
    <row r="143" s="25" customFormat="true" ht="71.4" hidden="false" customHeight="true" outlineLevel="0" collapsed="false">
      <c r="A143" s="36" t="s">
        <v>432</v>
      </c>
      <c r="B143" s="26" t="s">
        <v>433</v>
      </c>
      <c r="C143" s="14" t="s">
        <v>434</v>
      </c>
      <c r="D143" s="15" t="n">
        <v>12</v>
      </c>
      <c r="E143" s="27" t="n">
        <f aca="false">F143/2</f>
        <v>43200</v>
      </c>
      <c r="F143" s="16" t="n">
        <v>86400</v>
      </c>
      <c r="G143" s="15" t="s">
        <v>36</v>
      </c>
      <c r="H143" s="17" t="s">
        <v>25</v>
      </c>
      <c r="I143" s="18" t="s">
        <v>26</v>
      </c>
      <c r="J143" s="15" t="n">
        <v>2020</v>
      </c>
      <c r="K143" s="19" t="s">
        <v>27</v>
      </c>
      <c r="L143" s="15" t="s">
        <v>28</v>
      </c>
      <c r="M143" s="15" t="s">
        <v>33</v>
      </c>
      <c r="N143" s="17" t="s">
        <v>431</v>
      </c>
      <c r="O143" s="15"/>
      <c r="P143" s="15"/>
      <c r="Q143" s="21" t="s">
        <v>78</v>
      </c>
      <c r="R143" s="21"/>
      <c r="S143" s="21"/>
      <c r="T143" s="31" t="n">
        <v>45880</v>
      </c>
      <c r="U143" s="34"/>
    </row>
    <row r="144" s="25" customFormat="true" ht="41.4" hidden="false" customHeight="false" outlineLevel="0" collapsed="false">
      <c r="A144" s="42" t="s">
        <v>435</v>
      </c>
      <c r="B144" s="26"/>
      <c r="C144" s="14" t="s">
        <v>264</v>
      </c>
      <c r="D144" s="15" t="n">
        <v>6</v>
      </c>
      <c r="E144" s="27" t="n">
        <f aca="false">F144/2</f>
        <v>21946.14</v>
      </c>
      <c r="F144" s="16" t="n">
        <f aca="false">47196*0.93</f>
        <v>43892.28</v>
      </c>
      <c r="G144" s="15" t="s">
        <v>36</v>
      </c>
      <c r="H144" s="17" t="s">
        <v>25</v>
      </c>
      <c r="I144" s="18" t="s">
        <v>26</v>
      </c>
      <c r="J144" s="15" t="n">
        <v>2024</v>
      </c>
      <c r="K144" s="19" t="s">
        <v>27</v>
      </c>
      <c r="L144" s="15" t="s">
        <v>28</v>
      </c>
      <c r="M144" s="15" t="s">
        <v>33</v>
      </c>
      <c r="N144" s="17"/>
      <c r="O144" s="15"/>
      <c r="P144" s="15"/>
      <c r="Q144" s="21"/>
      <c r="R144" s="21"/>
      <c r="S144" s="21"/>
      <c r="T144" s="31" t="n">
        <v>45880</v>
      </c>
      <c r="U144" s="34"/>
    </row>
    <row r="145" s="25" customFormat="true" ht="41.4" hidden="false" customHeight="false" outlineLevel="0" collapsed="false">
      <c r="A145" s="42" t="s">
        <v>436</v>
      </c>
      <c r="B145" s="26"/>
      <c r="C145" s="14" t="s">
        <v>264</v>
      </c>
      <c r="D145" s="15" t="n">
        <v>6</v>
      </c>
      <c r="E145" s="27" t="n">
        <f aca="false">F145/2</f>
        <v>17493.3</v>
      </c>
      <c r="F145" s="16" t="n">
        <f aca="false">37620*0.93</f>
        <v>34986.6</v>
      </c>
      <c r="G145" s="15" t="s">
        <v>36</v>
      </c>
      <c r="H145" s="17" t="s">
        <v>25</v>
      </c>
      <c r="I145" s="18" t="s">
        <v>26</v>
      </c>
      <c r="J145" s="15" t="n">
        <v>2024</v>
      </c>
      <c r="K145" s="19" t="s">
        <v>27</v>
      </c>
      <c r="L145" s="15" t="s">
        <v>28</v>
      </c>
      <c r="M145" s="15" t="s">
        <v>33</v>
      </c>
      <c r="N145" s="17"/>
      <c r="O145" s="15"/>
      <c r="P145" s="15"/>
      <c r="Q145" s="21"/>
      <c r="R145" s="21"/>
      <c r="S145" s="21"/>
      <c r="T145" s="31" t="n">
        <v>45880</v>
      </c>
      <c r="U145" s="34"/>
    </row>
    <row r="146" s="25" customFormat="true" ht="41.4" hidden="false" customHeight="false" outlineLevel="0" collapsed="false">
      <c r="A146" s="39" t="s">
        <v>437</v>
      </c>
      <c r="B146" s="30"/>
      <c r="C146" s="14" t="s">
        <v>264</v>
      </c>
      <c r="D146" s="15" t="n">
        <v>6</v>
      </c>
      <c r="E146" s="16" t="n">
        <f aca="false">F146/2</f>
        <v>27353.16</v>
      </c>
      <c r="F146" s="16" t="n">
        <f aca="false">58824*0.93</f>
        <v>54706.32</v>
      </c>
      <c r="G146" s="15" t="s">
        <v>36</v>
      </c>
      <c r="H146" s="17" t="s">
        <v>25</v>
      </c>
      <c r="I146" s="18" t="s">
        <v>26</v>
      </c>
      <c r="J146" s="15" t="n">
        <v>2024</v>
      </c>
      <c r="K146" s="19" t="s">
        <v>27</v>
      </c>
      <c r="L146" s="15" t="s">
        <v>28</v>
      </c>
      <c r="M146" s="15" t="s">
        <v>33</v>
      </c>
      <c r="N146" s="17" t="s">
        <v>431</v>
      </c>
      <c r="O146" s="15"/>
      <c r="P146" s="15"/>
      <c r="Q146" s="21"/>
      <c r="R146" s="21"/>
      <c r="S146" s="40"/>
      <c r="T146" s="31" t="n">
        <v>45880</v>
      </c>
      <c r="U146" s="41"/>
    </row>
    <row r="147" s="25" customFormat="true" ht="41.4" hidden="false" customHeight="false" outlineLevel="0" collapsed="false">
      <c r="A147" s="36" t="s">
        <v>438</v>
      </c>
      <c r="B147" s="26" t="s">
        <v>439</v>
      </c>
      <c r="C147" s="14" t="s">
        <v>440</v>
      </c>
      <c r="D147" s="15" t="n">
        <v>4</v>
      </c>
      <c r="E147" s="27" t="n">
        <f aca="false">F147/2</f>
        <v>50</v>
      </c>
      <c r="F147" s="16" t="n">
        <v>100</v>
      </c>
      <c r="G147" s="15" t="s">
        <v>36</v>
      </c>
      <c r="H147" s="17" t="s">
        <v>25</v>
      </c>
      <c r="I147" s="18" t="s">
        <v>26</v>
      </c>
      <c r="J147" s="17" t="n">
        <v>2020</v>
      </c>
      <c r="K147" s="19" t="s">
        <v>27</v>
      </c>
      <c r="L147" s="15" t="s">
        <v>28</v>
      </c>
      <c r="M147" s="15" t="s">
        <v>33</v>
      </c>
      <c r="N147" s="20" t="s">
        <v>83</v>
      </c>
      <c r="O147" s="15"/>
      <c r="P147" s="15"/>
      <c r="Q147" s="21"/>
      <c r="R147" s="21"/>
      <c r="S147" s="21"/>
      <c r="T147" s="28"/>
      <c r="U147" s="34"/>
    </row>
    <row r="148" s="25" customFormat="true" ht="41.4" hidden="false" customHeight="false" outlineLevel="0" collapsed="false">
      <c r="A148" s="36" t="s">
        <v>441</v>
      </c>
      <c r="B148" s="26"/>
      <c r="C148" s="14" t="s">
        <v>152</v>
      </c>
      <c r="D148" s="15" t="n">
        <v>4</v>
      </c>
      <c r="E148" s="27" t="n">
        <f aca="false">F148/2</f>
        <v>50</v>
      </c>
      <c r="F148" s="16" t="n">
        <v>100</v>
      </c>
      <c r="G148" s="15" t="s">
        <v>36</v>
      </c>
      <c r="H148" s="17" t="s">
        <v>25</v>
      </c>
      <c r="I148" s="18" t="s">
        <v>26</v>
      </c>
      <c r="J148" s="15" t="n">
        <v>2023</v>
      </c>
      <c r="K148" s="19" t="s">
        <v>27</v>
      </c>
      <c r="L148" s="15" t="s">
        <v>28</v>
      </c>
      <c r="M148" s="15" t="s">
        <v>33</v>
      </c>
      <c r="N148" s="17" t="s">
        <v>96</v>
      </c>
      <c r="O148" s="15" t="s">
        <v>250</v>
      </c>
      <c r="P148" s="15"/>
      <c r="Q148" s="21"/>
      <c r="R148" s="21"/>
      <c r="S148" s="21"/>
      <c r="T148" s="28"/>
      <c r="U148" s="24"/>
    </row>
    <row r="149" s="25" customFormat="true" ht="41.4" hidden="false" customHeight="false" outlineLevel="0" collapsed="false">
      <c r="A149" s="36" t="s">
        <v>442</v>
      </c>
      <c r="B149" s="26"/>
      <c r="C149" s="14" t="s">
        <v>35</v>
      </c>
      <c r="D149" s="15" t="n">
        <v>4</v>
      </c>
      <c r="E149" s="27" t="n">
        <f aca="false">F149/2</f>
        <v>50</v>
      </c>
      <c r="F149" s="16" t="n">
        <v>100</v>
      </c>
      <c r="G149" s="15" t="s">
        <v>36</v>
      </c>
      <c r="H149" s="17" t="s">
        <v>25</v>
      </c>
      <c r="I149" s="18" t="s">
        <v>26</v>
      </c>
      <c r="J149" s="15" t="n">
        <v>2025</v>
      </c>
      <c r="K149" s="19" t="s">
        <v>37</v>
      </c>
      <c r="L149" s="15" t="s">
        <v>28</v>
      </c>
      <c r="M149" s="15"/>
      <c r="N149" s="17"/>
      <c r="O149" s="15"/>
      <c r="P149" s="15"/>
      <c r="Q149" s="21"/>
      <c r="R149" s="21"/>
      <c r="S149" s="21"/>
      <c r="T149" s="28"/>
      <c r="U149" s="24"/>
    </row>
    <row r="150" s="25" customFormat="true" ht="41.4" hidden="false" customHeight="false" outlineLevel="0" collapsed="false">
      <c r="A150" s="36" t="s">
        <v>443</v>
      </c>
      <c r="B150" s="26" t="s">
        <v>444</v>
      </c>
      <c r="C150" s="14" t="s">
        <v>445</v>
      </c>
      <c r="D150" s="15" t="n">
        <v>12</v>
      </c>
      <c r="E150" s="27" t="n">
        <f aca="false">F150/2</f>
        <v>11700</v>
      </c>
      <c r="F150" s="16" t="n">
        <v>23400</v>
      </c>
      <c r="G150" s="15" t="s">
        <v>36</v>
      </c>
      <c r="H150" s="17" t="s">
        <v>25</v>
      </c>
      <c r="I150" s="18" t="s">
        <v>26</v>
      </c>
      <c r="J150" s="15" t="n">
        <v>2020</v>
      </c>
      <c r="K150" s="19" t="s">
        <v>27</v>
      </c>
      <c r="L150" s="15" t="s">
        <v>28</v>
      </c>
      <c r="M150" s="15" t="s">
        <v>33</v>
      </c>
      <c r="N150" s="17" t="s">
        <v>431</v>
      </c>
      <c r="O150" s="15"/>
      <c r="P150" s="15"/>
      <c r="Q150" s="21"/>
      <c r="R150" s="21"/>
      <c r="S150" s="21"/>
      <c r="T150" s="28"/>
      <c r="U150" s="34"/>
    </row>
    <row r="151" s="25" customFormat="true" ht="41.4" hidden="false" customHeight="false" outlineLevel="0" collapsed="false">
      <c r="A151" s="36" t="s">
        <v>446</v>
      </c>
      <c r="B151" s="26"/>
      <c r="C151" s="14" t="s">
        <v>122</v>
      </c>
      <c r="D151" s="15" t="n">
        <v>12</v>
      </c>
      <c r="E151" s="16" t="n">
        <v>23628</v>
      </c>
      <c r="F151" s="16" t="n">
        <v>39204</v>
      </c>
      <c r="G151" s="15" t="s">
        <v>36</v>
      </c>
      <c r="H151" s="17" t="s">
        <v>25</v>
      </c>
      <c r="I151" s="18" t="s">
        <v>26</v>
      </c>
      <c r="J151" s="15" t="n">
        <v>2025</v>
      </c>
      <c r="K151" s="19" t="s">
        <v>27</v>
      </c>
      <c r="L151" s="15" t="s">
        <v>28</v>
      </c>
      <c r="M151" s="15" t="s">
        <v>33</v>
      </c>
      <c r="N151" s="17"/>
      <c r="O151" s="15"/>
      <c r="P151" s="15"/>
      <c r="Q151" s="21"/>
      <c r="R151" s="21"/>
      <c r="S151" s="21"/>
      <c r="T151" s="28"/>
      <c r="U151" s="24"/>
    </row>
    <row r="152" s="25" customFormat="true" ht="41.4" hidden="false" customHeight="false" outlineLevel="0" collapsed="false">
      <c r="A152" s="36" t="s">
        <v>447</v>
      </c>
      <c r="B152" s="26"/>
      <c r="C152" s="14" t="s">
        <v>448</v>
      </c>
      <c r="D152" s="15" t="n">
        <v>6</v>
      </c>
      <c r="E152" s="16" t="n">
        <f aca="false">F152/2</f>
        <v>2340</v>
      </c>
      <c r="F152" s="16" t="n">
        <f aca="false">3900*1.2</f>
        <v>4680</v>
      </c>
      <c r="G152" s="15" t="s">
        <v>36</v>
      </c>
      <c r="H152" s="17" t="s">
        <v>25</v>
      </c>
      <c r="I152" s="18" t="s">
        <v>26</v>
      </c>
      <c r="J152" s="15" t="n">
        <v>2025</v>
      </c>
      <c r="K152" s="19" t="s">
        <v>27</v>
      </c>
      <c r="L152" s="15" t="s">
        <v>28</v>
      </c>
      <c r="M152" s="15" t="s">
        <v>33</v>
      </c>
      <c r="N152" s="17" t="s">
        <v>45</v>
      </c>
      <c r="O152" s="15"/>
      <c r="P152" s="15"/>
      <c r="Q152" s="21"/>
      <c r="R152" s="21"/>
      <c r="S152" s="21"/>
      <c r="T152" s="28"/>
      <c r="U152" s="24"/>
    </row>
    <row r="153" s="25" customFormat="true" ht="71.4" hidden="false" customHeight="true" outlineLevel="0" collapsed="false">
      <c r="A153" s="36" t="s">
        <v>449</v>
      </c>
      <c r="B153" s="26" t="s">
        <v>450</v>
      </c>
      <c r="C153" s="14"/>
      <c r="D153" s="15" t="n">
        <v>4</v>
      </c>
      <c r="E153" s="27"/>
      <c r="F153" s="16" t="s">
        <v>451</v>
      </c>
      <c r="G153" s="15" t="s">
        <v>36</v>
      </c>
      <c r="H153" s="17" t="s">
        <v>25</v>
      </c>
      <c r="I153" s="18" t="s">
        <v>26</v>
      </c>
      <c r="J153" s="15" t="n">
        <v>2017</v>
      </c>
      <c r="K153" s="19" t="s">
        <v>27</v>
      </c>
      <c r="L153" s="15" t="s">
        <v>28</v>
      </c>
      <c r="M153" s="15" t="s">
        <v>33</v>
      </c>
      <c r="N153" s="17" t="s">
        <v>240</v>
      </c>
      <c r="O153" s="15"/>
      <c r="P153" s="15"/>
      <c r="Q153" s="21"/>
      <c r="R153" s="21"/>
      <c r="S153" s="21"/>
      <c r="T153" s="28"/>
      <c r="U153" s="24"/>
    </row>
    <row r="154" s="25" customFormat="true" ht="91.2" hidden="false" customHeight="false" outlineLevel="0" collapsed="false">
      <c r="A154" s="36" t="s">
        <v>452</v>
      </c>
      <c r="B154" s="26" t="s">
        <v>453</v>
      </c>
      <c r="C154" s="14"/>
      <c r="D154" s="15" t="n">
        <v>6</v>
      </c>
      <c r="E154" s="27" t="n">
        <f aca="false">F154/2</f>
        <v>4460</v>
      </c>
      <c r="F154" s="16" t="n">
        <v>8920</v>
      </c>
      <c r="G154" s="15" t="s">
        <v>24</v>
      </c>
      <c r="H154" s="17" t="s">
        <v>25</v>
      </c>
      <c r="I154" s="18" t="s">
        <v>26</v>
      </c>
      <c r="J154" s="15" t="n">
        <v>2005</v>
      </c>
      <c r="K154" s="19" t="s">
        <v>27</v>
      </c>
      <c r="L154" s="15" t="s">
        <v>28</v>
      </c>
      <c r="M154" s="15" t="s">
        <v>33</v>
      </c>
      <c r="N154" s="17" t="s">
        <v>454</v>
      </c>
      <c r="O154" s="15"/>
      <c r="P154" s="15"/>
      <c r="Q154" s="21" t="s">
        <v>455</v>
      </c>
      <c r="R154" s="21"/>
      <c r="S154" s="21"/>
      <c r="T154" s="28"/>
      <c r="U154" s="24" t="s">
        <v>456</v>
      </c>
    </row>
    <row r="155" s="25" customFormat="true" ht="57" hidden="false" customHeight="false" outlineLevel="0" collapsed="false">
      <c r="A155" s="36" t="s">
        <v>457</v>
      </c>
      <c r="B155" s="26" t="s">
        <v>458</v>
      </c>
      <c r="C155" s="14"/>
      <c r="D155" s="15" t="n">
        <v>4</v>
      </c>
      <c r="E155" s="27" t="n">
        <f aca="false">F155/2</f>
        <v>625</v>
      </c>
      <c r="F155" s="16" t="n">
        <v>1250</v>
      </c>
      <c r="G155" s="15" t="s">
        <v>24</v>
      </c>
      <c r="H155" s="17" t="s">
        <v>25</v>
      </c>
      <c r="I155" s="18" t="s">
        <v>26</v>
      </c>
      <c r="J155" s="15" t="n">
        <v>2005</v>
      </c>
      <c r="K155" s="19" t="s">
        <v>59</v>
      </c>
      <c r="L155" s="15" t="s">
        <v>28</v>
      </c>
      <c r="M155" s="15" t="s">
        <v>33</v>
      </c>
      <c r="N155" s="17" t="s">
        <v>454</v>
      </c>
      <c r="O155" s="15" t="s">
        <v>54</v>
      </c>
      <c r="P155" s="15"/>
      <c r="Q155" s="21" t="s">
        <v>455</v>
      </c>
      <c r="R155" s="21"/>
      <c r="S155" s="21"/>
      <c r="T155" s="28"/>
      <c r="U155" s="24" t="s">
        <v>459</v>
      </c>
    </row>
    <row r="156" s="25" customFormat="true" ht="57" hidden="false" customHeight="false" outlineLevel="0" collapsed="false">
      <c r="A156" s="36" t="s">
        <v>460</v>
      </c>
      <c r="B156" s="26" t="s">
        <v>461</v>
      </c>
      <c r="C156" s="14"/>
      <c r="D156" s="15" t="n">
        <v>6</v>
      </c>
      <c r="E156" s="27" t="n">
        <v>900</v>
      </c>
      <c r="F156" s="16" t="n">
        <v>1800</v>
      </c>
      <c r="G156" s="15" t="s">
        <v>354</v>
      </c>
      <c r="H156" s="17" t="s">
        <v>25</v>
      </c>
      <c r="I156" s="18" t="s">
        <v>26</v>
      </c>
      <c r="J156" s="15" t="n">
        <v>2013</v>
      </c>
      <c r="K156" s="19" t="s">
        <v>27</v>
      </c>
      <c r="L156" s="15" t="s">
        <v>28</v>
      </c>
      <c r="M156" s="15" t="s">
        <v>33</v>
      </c>
      <c r="N156" s="17" t="s">
        <v>454</v>
      </c>
      <c r="O156" s="15" t="s">
        <v>54</v>
      </c>
      <c r="P156" s="15"/>
      <c r="Q156" s="21" t="s">
        <v>455</v>
      </c>
      <c r="R156" s="21"/>
      <c r="S156" s="21"/>
      <c r="T156" s="28"/>
      <c r="U156" s="24" t="s">
        <v>462</v>
      </c>
    </row>
    <row r="157" s="25" customFormat="true" ht="41.4" hidden="false" customHeight="false" outlineLevel="0" collapsed="false">
      <c r="A157" s="36" t="s">
        <v>463</v>
      </c>
      <c r="B157" s="26" t="s">
        <v>464</v>
      </c>
      <c r="C157" s="14" t="s">
        <v>465</v>
      </c>
      <c r="D157" s="15" t="n">
        <v>12</v>
      </c>
      <c r="E157" s="27" t="n">
        <f aca="false">F157/2</f>
        <v>16805</v>
      </c>
      <c r="F157" s="16" t="n">
        <v>33610</v>
      </c>
      <c r="G157" s="15" t="s">
        <v>36</v>
      </c>
      <c r="H157" s="17" t="s">
        <v>25</v>
      </c>
      <c r="I157" s="18" t="s">
        <v>26</v>
      </c>
      <c r="J157" s="15" t="n">
        <v>2022</v>
      </c>
      <c r="K157" s="19" t="s">
        <v>27</v>
      </c>
      <c r="L157" s="15" t="s">
        <v>28</v>
      </c>
      <c r="M157" s="15" t="s">
        <v>33</v>
      </c>
      <c r="N157" s="20" t="s">
        <v>397</v>
      </c>
      <c r="O157" s="15"/>
      <c r="P157" s="15"/>
      <c r="Q157" s="21"/>
      <c r="R157" s="21"/>
      <c r="S157" s="21"/>
      <c r="T157" s="31" t="n">
        <v>45859</v>
      </c>
      <c r="U157" s="34"/>
    </row>
    <row r="158" s="25" customFormat="true" ht="57" hidden="false" customHeight="false" outlineLevel="0" collapsed="false">
      <c r="A158" s="36" t="s">
        <v>454</v>
      </c>
      <c r="B158" s="26" t="s">
        <v>466</v>
      </c>
      <c r="C158" s="14" t="s">
        <v>467</v>
      </c>
      <c r="D158" s="15" t="n">
        <v>24</v>
      </c>
      <c r="E158" s="27" t="n">
        <f aca="false">F158/2</f>
        <v>3600</v>
      </c>
      <c r="F158" s="16" t="n">
        <v>7200</v>
      </c>
      <c r="G158" s="15" t="s">
        <v>24</v>
      </c>
      <c r="H158" s="17" t="s">
        <v>25</v>
      </c>
      <c r="I158" s="18" t="s">
        <v>26</v>
      </c>
      <c r="J158" s="15" t="n">
        <v>2005</v>
      </c>
      <c r="K158" s="19" t="s">
        <v>65</v>
      </c>
      <c r="L158" s="15" t="s">
        <v>28</v>
      </c>
      <c r="M158" s="15" t="s">
        <v>33</v>
      </c>
      <c r="N158" s="17" t="s">
        <v>454</v>
      </c>
      <c r="O158" s="15"/>
      <c r="P158" s="15"/>
      <c r="Q158" s="21" t="s">
        <v>455</v>
      </c>
      <c r="R158" s="21"/>
      <c r="S158" s="21"/>
      <c r="T158" s="28"/>
      <c r="U158" s="24" t="s">
        <v>468</v>
      </c>
    </row>
    <row r="159" s="25" customFormat="true" ht="41.4" hidden="false" customHeight="false" outlineLevel="0" collapsed="false">
      <c r="A159" s="36" t="s">
        <v>469</v>
      </c>
      <c r="B159" s="26"/>
      <c r="C159" s="14" t="s">
        <v>283</v>
      </c>
      <c r="D159" s="15" t="n">
        <v>1</v>
      </c>
      <c r="E159" s="27" t="n">
        <f aca="false">F159/2</f>
        <v>780</v>
      </c>
      <c r="F159" s="16" t="n">
        <f aca="false">1300*1.2</f>
        <v>1560</v>
      </c>
      <c r="G159" s="15" t="s">
        <v>36</v>
      </c>
      <c r="H159" s="17" t="s">
        <v>25</v>
      </c>
      <c r="I159" s="18" t="s">
        <v>26</v>
      </c>
      <c r="J159" s="15" t="n">
        <v>2025</v>
      </c>
      <c r="K159" s="19" t="s">
        <v>27</v>
      </c>
      <c r="L159" s="15" t="s">
        <v>28</v>
      </c>
      <c r="M159" s="15" t="s">
        <v>33</v>
      </c>
      <c r="N159" s="17"/>
      <c r="O159" s="15"/>
      <c r="P159" s="15"/>
      <c r="Q159" s="21"/>
      <c r="R159" s="21"/>
      <c r="S159" s="21"/>
      <c r="T159" s="28"/>
      <c r="U159" s="24" t="s">
        <v>284</v>
      </c>
    </row>
    <row r="160" s="25" customFormat="true" ht="41.4" hidden="false" customHeight="false" outlineLevel="0" collapsed="false">
      <c r="A160" s="36" t="s">
        <v>470</v>
      </c>
      <c r="B160" s="26"/>
      <c r="C160" s="14" t="s">
        <v>122</v>
      </c>
      <c r="D160" s="15" t="n">
        <v>12</v>
      </c>
      <c r="E160" s="16" t="n">
        <v>23628</v>
      </c>
      <c r="F160" s="16" t="n">
        <v>39204</v>
      </c>
      <c r="G160" s="15" t="s">
        <v>36</v>
      </c>
      <c r="H160" s="17" t="s">
        <v>25</v>
      </c>
      <c r="I160" s="18" t="s">
        <v>26</v>
      </c>
      <c r="J160" s="15" t="n">
        <v>2023</v>
      </c>
      <c r="K160" s="19" t="s">
        <v>27</v>
      </c>
      <c r="L160" s="15" t="s">
        <v>28</v>
      </c>
      <c r="M160" s="15" t="s">
        <v>33</v>
      </c>
      <c r="N160" s="17"/>
      <c r="O160" s="15"/>
      <c r="P160" s="15"/>
      <c r="Q160" s="21"/>
      <c r="R160" s="21"/>
      <c r="S160" s="21"/>
      <c r="T160" s="28"/>
      <c r="U160" s="24"/>
    </row>
    <row r="161" s="25" customFormat="true" ht="41.4" hidden="false" customHeight="false" outlineLevel="0" collapsed="false">
      <c r="A161" s="36" t="s">
        <v>471</v>
      </c>
      <c r="B161" s="26" t="s">
        <v>472</v>
      </c>
      <c r="C161" s="14" t="s">
        <v>246</v>
      </c>
      <c r="D161" s="15" t="n">
        <v>6</v>
      </c>
      <c r="E161" s="27" t="n">
        <f aca="false">F161/2</f>
        <v>11978.5</v>
      </c>
      <c r="F161" s="38" t="n">
        <v>23957</v>
      </c>
      <c r="G161" s="15" t="s">
        <v>36</v>
      </c>
      <c r="H161" s="17" t="s">
        <v>25</v>
      </c>
      <c r="I161" s="18" t="s">
        <v>26</v>
      </c>
      <c r="J161" s="15" t="n">
        <v>2017</v>
      </c>
      <c r="K161" s="19" t="s">
        <v>27</v>
      </c>
      <c r="L161" s="15" t="s">
        <v>28</v>
      </c>
      <c r="M161" s="15" t="s">
        <v>33</v>
      </c>
      <c r="N161" s="17" t="s">
        <v>66</v>
      </c>
      <c r="O161" s="15"/>
      <c r="P161" s="15"/>
      <c r="Q161" s="21" t="s">
        <v>247</v>
      </c>
      <c r="R161" s="21"/>
      <c r="S161" s="21"/>
      <c r="T161" s="31" t="n">
        <v>45882</v>
      </c>
      <c r="U161" s="24" t="s">
        <v>248</v>
      </c>
    </row>
    <row r="162" s="25" customFormat="true" ht="41.4" hidden="false" customHeight="false" outlineLevel="0" collapsed="false">
      <c r="A162" s="36" t="s">
        <v>473</v>
      </c>
      <c r="B162" s="26" t="s">
        <v>474</v>
      </c>
      <c r="C162" s="14" t="s">
        <v>475</v>
      </c>
      <c r="D162" s="15" t="n">
        <v>6</v>
      </c>
      <c r="E162" s="27" t="n">
        <f aca="false">F162/2</f>
        <v>26280</v>
      </c>
      <c r="F162" s="16" t="n">
        <f aca="false">21900*2*1.2</f>
        <v>52560</v>
      </c>
      <c r="G162" s="15" t="s">
        <v>36</v>
      </c>
      <c r="H162" s="17" t="s">
        <v>25</v>
      </c>
      <c r="I162" s="18" t="s">
        <v>26</v>
      </c>
      <c r="J162" s="15" t="n">
        <v>2019</v>
      </c>
      <c r="K162" s="19" t="s">
        <v>27</v>
      </c>
      <c r="L162" s="15" t="s">
        <v>28</v>
      </c>
      <c r="M162" s="15" t="s">
        <v>33</v>
      </c>
      <c r="N162" s="17" t="s">
        <v>45</v>
      </c>
      <c r="O162" s="15" t="s">
        <v>54</v>
      </c>
      <c r="P162" s="15"/>
      <c r="Q162" s="21" t="s">
        <v>476</v>
      </c>
      <c r="R162" s="21"/>
      <c r="S162" s="21"/>
      <c r="T162" s="31" t="n">
        <v>45846</v>
      </c>
      <c r="U162" s="24"/>
    </row>
    <row r="163" s="25" customFormat="true" ht="41.4" hidden="false" customHeight="false" outlineLevel="0" collapsed="false">
      <c r="A163" s="36" t="s">
        <v>477</v>
      </c>
      <c r="B163" s="26" t="s">
        <v>478</v>
      </c>
      <c r="C163" s="14" t="s">
        <v>246</v>
      </c>
      <c r="D163" s="15" t="n">
        <v>6</v>
      </c>
      <c r="E163" s="27" t="n">
        <f aca="false">F163/2</f>
        <v>10295.5</v>
      </c>
      <c r="F163" s="38" t="n">
        <v>20591</v>
      </c>
      <c r="G163" s="15" t="s">
        <v>36</v>
      </c>
      <c r="H163" s="17" t="s">
        <v>25</v>
      </c>
      <c r="I163" s="18" t="s">
        <v>26</v>
      </c>
      <c r="J163" s="15" t="n">
        <v>2017</v>
      </c>
      <c r="K163" s="19" t="s">
        <v>27</v>
      </c>
      <c r="L163" s="15" t="s">
        <v>28</v>
      </c>
      <c r="M163" s="15" t="s">
        <v>33</v>
      </c>
      <c r="N163" s="17" t="s">
        <v>66</v>
      </c>
      <c r="O163" s="15"/>
      <c r="P163" s="15"/>
      <c r="Q163" s="21" t="s">
        <v>247</v>
      </c>
      <c r="R163" s="21"/>
      <c r="S163" s="21"/>
      <c r="T163" s="31" t="n">
        <v>45882</v>
      </c>
      <c r="U163" s="24" t="s">
        <v>248</v>
      </c>
    </row>
    <row r="164" s="25" customFormat="true" ht="41.4" hidden="false" customHeight="false" outlineLevel="0" collapsed="false">
      <c r="A164" s="36" t="s">
        <v>479</v>
      </c>
      <c r="B164" s="26" t="s">
        <v>480</v>
      </c>
      <c r="C164" s="14" t="s">
        <v>246</v>
      </c>
      <c r="D164" s="15" t="n">
        <v>6</v>
      </c>
      <c r="E164" s="27" t="n">
        <f aca="false">F164/2</f>
        <v>11978.5</v>
      </c>
      <c r="F164" s="38" t="n">
        <v>23957</v>
      </c>
      <c r="G164" s="15" t="s">
        <v>36</v>
      </c>
      <c r="H164" s="17" t="s">
        <v>25</v>
      </c>
      <c r="I164" s="18" t="s">
        <v>26</v>
      </c>
      <c r="J164" s="15" t="n">
        <v>2017</v>
      </c>
      <c r="K164" s="19" t="s">
        <v>27</v>
      </c>
      <c r="L164" s="15" t="s">
        <v>28</v>
      </c>
      <c r="M164" s="15" t="s">
        <v>33</v>
      </c>
      <c r="N164" s="17" t="s">
        <v>66</v>
      </c>
      <c r="O164" s="15"/>
      <c r="P164" s="15"/>
      <c r="Q164" s="21" t="s">
        <v>247</v>
      </c>
      <c r="R164" s="21"/>
      <c r="S164" s="21"/>
      <c r="T164" s="31" t="n">
        <v>45882</v>
      </c>
      <c r="U164" s="24" t="s">
        <v>248</v>
      </c>
    </row>
    <row r="165" s="25" customFormat="true" ht="41.4" hidden="false" customHeight="false" outlineLevel="0" collapsed="false">
      <c r="A165" s="36" t="s">
        <v>481</v>
      </c>
      <c r="B165" s="26" t="s">
        <v>482</v>
      </c>
      <c r="C165" s="14" t="s">
        <v>335</v>
      </c>
      <c r="D165" s="15" t="n">
        <v>6</v>
      </c>
      <c r="E165" s="27" t="n">
        <f aca="false">F165/2</f>
        <v>25200</v>
      </c>
      <c r="F165" s="16" t="n">
        <f aca="false">6*8400</f>
        <v>50400</v>
      </c>
      <c r="G165" s="15" t="s">
        <v>36</v>
      </c>
      <c r="H165" s="17" t="s">
        <v>25</v>
      </c>
      <c r="I165" s="18" t="s">
        <v>26</v>
      </c>
      <c r="J165" s="15" t="n">
        <v>2020</v>
      </c>
      <c r="K165" s="19" t="s">
        <v>27</v>
      </c>
      <c r="L165" s="15" t="s">
        <v>28</v>
      </c>
      <c r="M165" s="15" t="s">
        <v>33</v>
      </c>
      <c r="N165" s="20" t="s">
        <v>83</v>
      </c>
      <c r="O165" s="15" t="s">
        <v>46</v>
      </c>
      <c r="P165" s="15"/>
      <c r="Q165" s="21"/>
      <c r="R165" s="21"/>
      <c r="S165" s="21"/>
      <c r="T165" s="28"/>
      <c r="U165" s="34"/>
    </row>
    <row r="166" s="25" customFormat="true" ht="41.4" hidden="false" customHeight="false" outlineLevel="0" collapsed="false">
      <c r="A166" s="36" t="s">
        <v>483</v>
      </c>
      <c r="B166" s="26" t="s">
        <v>484</v>
      </c>
      <c r="C166" s="14" t="s">
        <v>246</v>
      </c>
      <c r="D166" s="15" t="n">
        <v>6</v>
      </c>
      <c r="E166" s="27" t="n">
        <f aca="false">F166/2</f>
        <v>12214.5</v>
      </c>
      <c r="F166" s="38" t="n">
        <v>24429</v>
      </c>
      <c r="G166" s="15" t="s">
        <v>36</v>
      </c>
      <c r="H166" s="17" t="s">
        <v>25</v>
      </c>
      <c r="I166" s="18" t="s">
        <v>26</v>
      </c>
      <c r="J166" s="15" t="n">
        <v>2017</v>
      </c>
      <c r="K166" s="19" t="s">
        <v>27</v>
      </c>
      <c r="L166" s="15" t="s">
        <v>28</v>
      </c>
      <c r="M166" s="15" t="s">
        <v>33</v>
      </c>
      <c r="N166" s="20" t="s">
        <v>87</v>
      </c>
      <c r="O166" s="15"/>
      <c r="P166" s="15"/>
      <c r="Q166" s="21" t="s">
        <v>247</v>
      </c>
      <c r="R166" s="21"/>
      <c r="S166" s="21"/>
      <c r="T166" s="31" t="n">
        <v>45882</v>
      </c>
      <c r="U166" s="24" t="s">
        <v>248</v>
      </c>
    </row>
    <row r="167" s="25" customFormat="true" ht="41.4" hidden="false" customHeight="false" outlineLevel="0" collapsed="false">
      <c r="A167" s="36" t="s">
        <v>485</v>
      </c>
      <c r="B167" s="26" t="s">
        <v>486</v>
      </c>
      <c r="C167" s="14" t="s">
        <v>440</v>
      </c>
      <c r="D167" s="15" t="n">
        <v>4</v>
      </c>
      <c r="E167" s="27" t="n">
        <f aca="false">F167/2</f>
        <v>50</v>
      </c>
      <c r="F167" s="16" t="n">
        <v>100</v>
      </c>
      <c r="G167" s="15" t="s">
        <v>36</v>
      </c>
      <c r="H167" s="17" t="s">
        <v>25</v>
      </c>
      <c r="I167" s="18" t="s">
        <v>26</v>
      </c>
      <c r="J167" s="17" t="n">
        <v>2020</v>
      </c>
      <c r="K167" s="19" t="s">
        <v>27</v>
      </c>
      <c r="L167" s="15" t="s">
        <v>28</v>
      </c>
      <c r="M167" s="15" t="s">
        <v>33</v>
      </c>
      <c r="N167" s="20" t="s">
        <v>83</v>
      </c>
      <c r="O167" s="15"/>
      <c r="P167" s="15"/>
      <c r="Q167" s="21"/>
      <c r="R167" s="21"/>
      <c r="S167" s="21"/>
      <c r="T167" s="28"/>
      <c r="U167" s="34"/>
    </row>
    <row r="168" s="25" customFormat="true" ht="41.4" hidden="false" customHeight="false" outlineLevel="0" collapsed="false">
      <c r="A168" s="36" t="s">
        <v>487</v>
      </c>
      <c r="B168" s="26"/>
      <c r="C168" s="14" t="s">
        <v>488</v>
      </c>
      <c r="D168" s="15" t="n">
        <v>6</v>
      </c>
      <c r="E168" s="27" t="n">
        <f aca="false">F168/2</f>
        <v>3617</v>
      </c>
      <c r="F168" s="27" t="n">
        <v>7234</v>
      </c>
      <c r="G168" s="15" t="s">
        <v>36</v>
      </c>
      <c r="H168" s="17" t="s">
        <v>25</v>
      </c>
      <c r="I168" s="18" t="s">
        <v>26</v>
      </c>
      <c r="J168" s="15" t="n">
        <v>2023</v>
      </c>
      <c r="K168" s="19" t="s">
        <v>27</v>
      </c>
      <c r="L168" s="15" t="s">
        <v>28</v>
      </c>
      <c r="M168" s="15" t="s">
        <v>33</v>
      </c>
      <c r="N168" s="20"/>
      <c r="O168" s="15"/>
      <c r="P168" s="15"/>
      <c r="Q168" s="21"/>
      <c r="R168" s="21"/>
      <c r="S168" s="21"/>
      <c r="T168" s="28"/>
      <c r="U168" s="34"/>
    </row>
    <row r="169" s="25" customFormat="true" ht="45.6" hidden="false" customHeight="false" outlineLevel="0" collapsed="false">
      <c r="A169" s="36" t="s">
        <v>489</v>
      </c>
      <c r="B169" s="26" t="s">
        <v>490</v>
      </c>
      <c r="C169" s="14" t="s">
        <v>188</v>
      </c>
      <c r="D169" s="15" t="n">
        <v>6</v>
      </c>
      <c r="E169" s="27" t="n">
        <f aca="false">F169/2</f>
        <v>20592</v>
      </c>
      <c r="F169" s="16" t="n">
        <f aca="false">34320*1.2</f>
        <v>41184</v>
      </c>
      <c r="G169" s="15" t="s">
        <v>36</v>
      </c>
      <c r="H169" s="17" t="s">
        <v>25</v>
      </c>
      <c r="I169" s="18" t="s">
        <v>26</v>
      </c>
      <c r="J169" s="15" t="n">
        <v>2021</v>
      </c>
      <c r="K169" s="19" t="s">
        <v>27</v>
      </c>
      <c r="L169" s="15" t="s">
        <v>28</v>
      </c>
      <c r="M169" s="15" t="s">
        <v>33</v>
      </c>
      <c r="N169" s="20"/>
      <c r="O169" s="15"/>
      <c r="P169" s="15"/>
      <c r="Q169" s="21"/>
      <c r="R169" s="21"/>
      <c r="S169" s="21"/>
      <c r="T169" s="28"/>
      <c r="U169" s="24" t="s">
        <v>491</v>
      </c>
    </row>
    <row r="170" s="25" customFormat="true" ht="41.4" hidden="false" customHeight="false" outlineLevel="0" collapsed="false">
      <c r="A170" s="36" t="s">
        <v>492</v>
      </c>
      <c r="B170" s="26" t="s">
        <v>493</v>
      </c>
      <c r="C170" s="14" t="s">
        <v>246</v>
      </c>
      <c r="D170" s="15" t="n">
        <v>6</v>
      </c>
      <c r="E170" s="27" t="n">
        <f aca="false">F170/2</f>
        <v>11978.5</v>
      </c>
      <c r="F170" s="38" t="n">
        <v>23957</v>
      </c>
      <c r="G170" s="15" t="s">
        <v>36</v>
      </c>
      <c r="H170" s="17" t="s">
        <v>25</v>
      </c>
      <c r="I170" s="18" t="s">
        <v>26</v>
      </c>
      <c r="J170" s="15" t="n">
        <v>2017</v>
      </c>
      <c r="K170" s="19" t="s">
        <v>27</v>
      </c>
      <c r="L170" s="15" t="s">
        <v>28</v>
      </c>
      <c r="M170" s="15" t="s">
        <v>33</v>
      </c>
      <c r="N170" s="20" t="s">
        <v>153</v>
      </c>
      <c r="O170" s="15"/>
      <c r="P170" s="15"/>
      <c r="Q170" s="21" t="s">
        <v>247</v>
      </c>
      <c r="R170" s="21"/>
      <c r="S170" s="21"/>
      <c r="T170" s="31" t="n">
        <v>45882</v>
      </c>
      <c r="U170" s="24" t="s">
        <v>248</v>
      </c>
    </row>
    <row r="171" s="25" customFormat="true" ht="41.4" hidden="false" customHeight="false" outlineLevel="0" collapsed="false">
      <c r="A171" s="36" t="s">
        <v>494</v>
      </c>
      <c r="B171" s="26" t="s">
        <v>495</v>
      </c>
      <c r="C171" s="14" t="s">
        <v>246</v>
      </c>
      <c r="D171" s="15" t="n">
        <v>12</v>
      </c>
      <c r="E171" s="27" t="n">
        <f aca="false">F171/2</f>
        <v>25640</v>
      </c>
      <c r="F171" s="38" t="n">
        <v>51280</v>
      </c>
      <c r="G171" s="15" t="s">
        <v>36</v>
      </c>
      <c r="H171" s="17" t="s">
        <v>25</v>
      </c>
      <c r="I171" s="18" t="s">
        <v>26</v>
      </c>
      <c r="J171" s="15" t="n">
        <v>2017</v>
      </c>
      <c r="K171" s="19" t="s">
        <v>27</v>
      </c>
      <c r="L171" s="15" t="s">
        <v>28</v>
      </c>
      <c r="M171" s="15" t="s">
        <v>33</v>
      </c>
      <c r="N171" s="20" t="s">
        <v>87</v>
      </c>
      <c r="O171" s="15"/>
      <c r="P171" s="15"/>
      <c r="Q171" s="21" t="s">
        <v>247</v>
      </c>
      <c r="R171" s="21"/>
      <c r="S171" s="21"/>
      <c r="T171" s="31" t="n">
        <v>45882</v>
      </c>
      <c r="U171" s="24" t="s">
        <v>248</v>
      </c>
    </row>
    <row r="172" s="25" customFormat="true" ht="41.4" hidden="false" customHeight="false" outlineLevel="0" collapsed="false">
      <c r="A172" s="36" t="s">
        <v>496</v>
      </c>
      <c r="B172" s="26"/>
      <c r="C172" s="14" t="s">
        <v>497</v>
      </c>
      <c r="D172" s="15" t="n">
        <v>4</v>
      </c>
      <c r="E172" s="27" t="n">
        <f aca="false">F172/2</f>
        <v>50</v>
      </c>
      <c r="F172" s="16" t="n">
        <v>100</v>
      </c>
      <c r="G172" s="15" t="s">
        <v>36</v>
      </c>
      <c r="H172" s="17" t="s">
        <v>25</v>
      </c>
      <c r="I172" s="18" t="s">
        <v>26</v>
      </c>
      <c r="J172" s="15" t="n">
        <v>2025</v>
      </c>
      <c r="K172" s="19" t="s">
        <v>498</v>
      </c>
      <c r="L172" s="15" t="s">
        <v>28</v>
      </c>
      <c r="M172" s="15" t="s">
        <v>33</v>
      </c>
      <c r="N172" s="17" t="s">
        <v>83</v>
      </c>
      <c r="O172" s="15"/>
      <c r="P172" s="15"/>
      <c r="Q172" s="21"/>
      <c r="R172" s="21"/>
      <c r="S172" s="21"/>
      <c r="T172" s="28"/>
      <c r="U172" s="24"/>
    </row>
    <row r="173" s="25" customFormat="true" ht="41.4" hidden="false" customHeight="false" outlineLevel="0" collapsed="false">
      <c r="A173" s="36" t="s">
        <v>499</v>
      </c>
      <c r="B173" s="26" t="s">
        <v>500</v>
      </c>
      <c r="C173" s="14" t="s">
        <v>501</v>
      </c>
      <c r="D173" s="15" t="n">
        <v>10</v>
      </c>
      <c r="E173" s="27" t="n">
        <v>1500</v>
      </c>
      <c r="F173" s="16" t="n">
        <v>3000</v>
      </c>
      <c r="G173" s="15" t="s">
        <v>36</v>
      </c>
      <c r="H173" s="17" t="s">
        <v>25</v>
      </c>
      <c r="I173" s="18" t="s">
        <v>26</v>
      </c>
      <c r="J173" s="15" t="n">
        <v>2014</v>
      </c>
      <c r="K173" s="19" t="s">
        <v>27</v>
      </c>
      <c r="L173" s="15" t="s">
        <v>28</v>
      </c>
      <c r="M173" s="15" t="s">
        <v>33</v>
      </c>
      <c r="N173" s="17" t="s">
        <v>96</v>
      </c>
      <c r="O173" s="15"/>
      <c r="P173" s="15"/>
      <c r="Q173" s="21" t="s">
        <v>97</v>
      </c>
      <c r="R173" s="21"/>
      <c r="S173" s="21"/>
      <c r="T173" s="28"/>
      <c r="U173" s="24"/>
    </row>
    <row r="174" s="43" customFormat="true" ht="41.4" hidden="false" customHeight="false" outlineLevel="0" collapsed="false">
      <c r="A174" s="36" t="s">
        <v>502</v>
      </c>
      <c r="B174" s="26"/>
      <c r="C174" s="14" t="s">
        <v>197</v>
      </c>
      <c r="D174" s="15" t="n">
        <v>4</v>
      </c>
      <c r="E174" s="16" t="n">
        <f aca="false">F174/2</f>
        <v>625</v>
      </c>
      <c r="F174" s="16" t="n">
        <v>1250</v>
      </c>
      <c r="G174" s="15" t="s">
        <v>36</v>
      </c>
      <c r="H174" s="17" t="s">
        <v>25</v>
      </c>
      <c r="I174" s="18" t="s">
        <v>26</v>
      </c>
      <c r="J174" s="15" t="n">
        <v>2025</v>
      </c>
      <c r="K174" s="19" t="s">
        <v>27</v>
      </c>
      <c r="L174" s="15" t="s">
        <v>28</v>
      </c>
      <c r="M174" s="15" t="s">
        <v>33</v>
      </c>
      <c r="N174" s="17"/>
      <c r="O174" s="15"/>
      <c r="P174" s="15"/>
      <c r="Q174" s="21"/>
      <c r="R174" s="21"/>
      <c r="S174" s="21"/>
      <c r="T174" s="28"/>
      <c r="U174" s="24"/>
      <c r="V174" s="25"/>
      <c r="W174" s="25"/>
    </row>
    <row r="175" s="25" customFormat="true" ht="41.4" hidden="false" customHeight="false" outlineLevel="0" collapsed="false">
      <c r="A175" s="36" t="s">
        <v>503</v>
      </c>
      <c r="B175" s="26" t="s">
        <v>504</v>
      </c>
      <c r="C175" s="14" t="s">
        <v>357</v>
      </c>
      <c r="D175" s="15" t="n">
        <v>104</v>
      </c>
      <c r="E175" s="27" t="n">
        <v>1500</v>
      </c>
      <c r="F175" s="16" t="n">
        <v>3000</v>
      </c>
      <c r="G175" s="15" t="s">
        <v>354</v>
      </c>
      <c r="H175" s="17" t="s">
        <v>25</v>
      </c>
      <c r="I175" s="18" t="s">
        <v>26</v>
      </c>
      <c r="J175" s="15" t="n">
        <v>1996</v>
      </c>
      <c r="K175" s="19" t="s">
        <v>505</v>
      </c>
      <c r="L175" s="15" t="s">
        <v>103</v>
      </c>
      <c r="M175" s="15" t="s">
        <v>33</v>
      </c>
      <c r="N175" s="17" t="s">
        <v>40</v>
      </c>
      <c r="O175" s="15"/>
      <c r="P175" s="15"/>
      <c r="Q175" s="21" t="s">
        <v>41</v>
      </c>
      <c r="R175" s="21"/>
      <c r="S175" s="21"/>
      <c r="T175" s="28"/>
      <c r="U175" s="24" t="s">
        <v>506</v>
      </c>
    </row>
    <row r="176" s="25" customFormat="true" ht="41.4" hidden="false" customHeight="false" outlineLevel="0" collapsed="false">
      <c r="A176" s="36" t="s">
        <v>507</v>
      </c>
      <c r="B176" s="26" t="s">
        <v>508</v>
      </c>
      <c r="C176" s="14" t="s">
        <v>246</v>
      </c>
      <c r="D176" s="15" t="n">
        <v>12</v>
      </c>
      <c r="E176" s="27" t="n">
        <f aca="false">F176/2</f>
        <v>23493</v>
      </c>
      <c r="F176" s="38" t="n">
        <v>46986</v>
      </c>
      <c r="G176" s="15" t="s">
        <v>36</v>
      </c>
      <c r="H176" s="17" t="s">
        <v>25</v>
      </c>
      <c r="I176" s="18" t="s">
        <v>26</v>
      </c>
      <c r="J176" s="15" t="n">
        <v>2017</v>
      </c>
      <c r="K176" s="19" t="s">
        <v>27</v>
      </c>
      <c r="L176" s="15" t="s">
        <v>28</v>
      </c>
      <c r="M176" s="15" t="s">
        <v>33</v>
      </c>
      <c r="N176" s="20" t="s">
        <v>66</v>
      </c>
      <c r="O176" s="15"/>
      <c r="P176" s="15"/>
      <c r="Q176" s="21" t="s">
        <v>247</v>
      </c>
      <c r="R176" s="21"/>
      <c r="S176" s="21"/>
      <c r="T176" s="31" t="n">
        <v>45882</v>
      </c>
      <c r="U176" s="24" t="s">
        <v>248</v>
      </c>
    </row>
    <row r="177" s="25" customFormat="true" ht="41.4" hidden="false" customHeight="false" outlineLevel="0" collapsed="false">
      <c r="A177" s="36" t="s">
        <v>509</v>
      </c>
      <c r="B177" s="26"/>
      <c r="C177" s="14" t="s">
        <v>510</v>
      </c>
      <c r="D177" s="15" t="n">
        <v>12</v>
      </c>
      <c r="E177" s="27" t="n">
        <f aca="false">F177/2</f>
        <v>51480</v>
      </c>
      <c r="F177" s="16" t="n">
        <f aca="false">85800*1.2</f>
        <v>102960</v>
      </c>
      <c r="G177" s="15" t="s">
        <v>36</v>
      </c>
      <c r="H177" s="17" t="s">
        <v>25</v>
      </c>
      <c r="I177" s="18" t="s">
        <v>26</v>
      </c>
      <c r="J177" s="15" t="n">
        <v>2024</v>
      </c>
      <c r="K177" s="19" t="s">
        <v>27</v>
      </c>
      <c r="L177" s="15" t="s">
        <v>28</v>
      </c>
      <c r="M177" s="15" t="s">
        <v>33</v>
      </c>
      <c r="N177" s="17" t="s">
        <v>511</v>
      </c>
      <c r="O177" s="15"/>
      <c r="P177" s="15"/>
      <c r="Q177" s="21"/>
      <c r="R177" s="21"/>
      <c r="S177" s="21"/>
      <c r="T177" s="28"/>
      <c r="U177" s="24"/>
    </row>
    <row r="178" s="25" customFormat="true" ht="41.4" hidden="false" customHeight="false" outlineLevel="0" collapsed="false">
      <c r="A178" s="36" t="s">
        <v>512</v>
      </c>
      <c r="B178" s="26"/>
      <c r="C178" s="14" t="s">
        <v>510</v>
      </c>
      <c r="D178" s="15" t="n">
        <v>12</v>
      </c>
      <c r="E178" s="16" t="n">
        <f aca="false">F178/2</f>
        <v>32760</v>
      </c>
      <c r="F178" s="16" t="n">
        <f aca="false">54600*1.2</f>
        <v>65520</v>
      </c>
      <c r="G178" s="15" t="s">
        <v>36</v>
      </c>
      <c r="H178" s="17" t="s">
        <v>25</v>
      </c>
      <c r="I178" s="18" t="s">
        <v>26</v>
      </c>
      <c r="J178" s="15" t="n">
        <v>2025</v>
      </c>
      <c r="K178" s="19" t="s">
        <v>27</v>
      </c>
      <c r="L178" s="15" t="s">
        <v>28</v>
      </c>
      <c r="M178" s="15" t="s">
        <v>33</v>
      </c>
      <c r="N178" s="17" t="s">
        <v>512</v>
      </c>
      <c r="O178" s="15"/>
      <c r="P178" s="15"/>
      <c r="Q178" s="21"/>
      <c r="R178" s="21"/>
      <c r="S178" s="21"/>
      <c r="T178" s="28"/>
      <c r="U178" s="24"/>
    </row>
    <row r="179" s="25" customFormat="true" ht="45.6" hidden="false" customHeight="false" outlineLevel="0" collapsed="false">
      <c r="A179" s="36" t="s">
        <v>513</v>
      </c>
      <c r="B179" s="26" t="s">
        <v>514</v>
      </c>
      <c r="C179" s="14" t="s">
        <v>515</v>
      </c>
      <c r="D179" s="15" t="n">
        <v>4</v>
      </c>
      <c r="E179" s="27" t="n">
        <f aca="false">F179/2</f>
        <v>6000</v>
      </c>
      <c r="F179" s="16" t="n">
        <v>12000</v>
      </c>
      <c r="G179" s="15" t="s">
        <v>24</v>
      </c>
      <c r="H179" s="17" t="s">
        <v>25</v>
      </c>
      <c r="I179" s="18" t="s">
        <v>26</v>
      </c>
      <c r="J179" s="15" t="n">
        <v>2012</v>
      </c>
      <c r="K179" s="19" t="s">
        <v>27</v>
      </c>
      <c r="L179" s="15" t="s">
        <v>28</v>
      </c>
      <c r="M179" s="15" t="s">
        <v>33</v>
      </c>
      <c r="N179" s="17" t="s">
        <v>512</v>
      </c>
      <c r="O179" s="15"/>
      <c r="P179" s="15"/>
      <c r="Q179" s="21" t="s">
        <v>516</v>
      </c>
      <c r="R179" s="21"/>
      <c r="S179" s="21"/>
      <c r="T179" s="31" t="n">
        <v>45846</v>
      </c>
      <c r="U179" s="24" t="s">
        <v>517</v>
      </c>
    </row>
    <row r="180" s="25" customFormat="true" ht="41.4" hidden="false" customHeight="false" outlineLevel="0" collapsed="false">
      <c r="A180" s="39" t="s">
        <v>518</v>
      </c>
      <c r="B180" s="30"/>
      <c r="C180" s="14" t="s">
        <v>264</v>
      </c>
      <c r="D180" s="15" t="n">
        <v>12</v>
      </c>
      <c r="E180" s="27" t="n">
        <f aca="false">F180/2</f>
        <v>54070.2</v>
      </c>
      <c r="F180" s="16" t="n">
        <f aca="false">116280*0.93</f>
        <v>108140.4</v>
      </c>
      <c r="G180" s="15" t="s">
        <v>36</v>
      </c>
      <c r="H180" s="17" t="s">
        <v>25</v>
      </c>
      <c r="I180" s="18" t="s">
        <v>26</v>
      </c>
      <c r="J180" s="15" t="n">
        <v>2024</v>
      </c>
      <c r="K180" s="19" t="s">
        <v>27</v>
      </c>
      <c r="L180" s="15" t="s">
        <v>28</v>
      </c>
      <c r="M180" s="15" t="s">
        <v>33</v>
      </c>
      <c r="N180" s="17" t="s">
        <v>512</v>
      </c>
      <c r="O180" s="15"/>
      <c r="P180" s="15"/>
      <c r="Q180" s="21"/>
      <c r="R180" s="21"/>
      <c r="S180" s="21"/>
      <c r="T180" s="31" t="n">
        <v>45880</v>
      </c>
      <c r="U180" s="24"/>
    </row>
    <row r="181" s="25" customFormat="true" ht="41.4" hidden="false" customHeight="false" outlineLevel="0" collapsed="false">
      <c r="A181" s="42" t="s">
        <v>519</v>
      </c>
      <c r="B181" s="26"/>
      <c r="C181" s="14" t="s">
        <v>264</v>
      </c>
      <c r="D181" s="15" t="n">
        <v>12</v>
      </c>
      <c r="E181" s="27" t="n">
        <f aca="false">F181/2</f>
        <v>55342.44</v>
      </c>
      <c r="F181" s="16" t="n">
        <f aca="false">119016*0.93</f>
        <v>110684.88</v>
      </c>
      <c r="G181" s="15" t="s">
        <v>36</v>
      </c>
      <c r="H181" s="17" t="s">
        <v>25</v>
      </c>
      <c r="I181" s="18" t="s">
        <v>26</v>
      </c>
      <c r="J181" s="15" t="n">
        <v>2024</v>
      </c>
      <c r="K181" s="19" t="s">
        <v>27</v>
      </c>
      <c r="L181" s="15" t="s">
        <v>28</v>
      </c>
      <c r="M181" s="15" t="s">
        <v>33</v>
      </c>
      <c r="N181" s="17" t="s">
        <v>512</v>
      </c>
      <c r="O181" s="15"/>
      <c r="P181" s="15"/>
      <c r="Q181" s="21"/>
      <c r="R181" s="21"/>
      <c r="S181" s="21"/>
      <c r="T181" s="31" t="n">
        <v>45880</v>
      </c>
      <c r="U181" s="34"/>
    </row>
    <row r="182" s="25" customFormat="true" ht="41.4" hidden="false" customHeight="false" outlineLevel="0" collapsed="false">
      <c r="A182" s="42" t="s">
        <v>520</v>
      </c>
      <c r="B182" s="26"/>
      <c r="C182" s="14" t="s">
        <v>264</v>
      </c>
      <c r="D182" s="15" t="n">
        <v>12</v>
      </c>
      <c r="E182" s="27" t="n">
        <f aca="false">F182/2</f>
        <v>54070.2</v>
      </c>
      <c r="F182" s="16" t="n">
        <f aca="false">116280*0.93</f>
        <v>108140.4</v>
      </c>
      <c r="G182" s="15" t="s">
        <v>36</v>
      </c>
      <c r="H182" s="17" t="s">
        <v>25</v>
      </c>
      <c r="I182" s="18" t="s">
        <v>26</v>
      </c>
      <c r="J182" s="15" t="n">
        <v>2024</v>
      </c>
      <c r="K182" s="19" t="s">
        <v>27</v>
      </c>
      <c r="L182" s="15" t="s">
        <v>28</v>
      </c>
      <c r="M182" s="15" t="s">
        <v>33</v>
      </c>
      <c r="N182" s="17" t="s">
        <v>512</v>
      </c>
      <c r="O182" s="15"/>
      <c r="P182" s="15"/>
      <c r="Q182" s="21"/>
      <c r="R182" s="21"/>
      <c r="S182" s="21"/>
      <c r="T182" s="31" t="n">
        <v>45880</v>
      </c>
      <c r="U182" s="34"/>
    </row>
    <row r="183" s="25" customFormat="true" ht="41.4" hidden="false" customHeight="false" outlineLevel="0" collapsed="false">
      <c r="A183" s="42" t="s">
        <v>521</v>
      </c>
      <c r="B183" s="26"/>
      <c r="C183" s="14" t="s">
        <v>264</v>
      </c>
      <c r="D183" s="15" t="n">
        <v>6</v>
      </c>
      <c r="E183" s="27" t="n">
        <f aca="false">F183/2</f>
        <v>28625.4</v>
      </c>
      <c r="F183" s="16" t="n">
        <f aca="false">61560*0.93</f>
        <v>57250.8</v>
      </c>
      <c r="G183" s="15" t="s">
        <v>36</v>
      </c>
      <c r="H183" s="17" t="s">
        <v>25</v>
      </c>
      <c r="I183" s="18" t="s">
        <v>26</v>
      </c>
      <c r="J183" s="15" t="n">
        <v>2024</v>
      </c>
      <c r="K183" s="19" t="s">
        <v>27</v>
      </c>
      <c r="L183" s="15" t="s">
        <v>28</v>
      </c>
      <c r="M183" s="15" t="s">
        <v>33</v>
      </c>
      <c r="N183" s="17" t="s">
        <v>512</v>
      </c>
      <c r="O183" s="15"/>
      <c r="P183" s="15"/>
      <c r="Q183" s="21"/>
      <c r="R183" s="21"/>
      <c r="S183" s="21"/>
      <c r="T183" s="31" t="n">
        <v>45880</v>
      </c>
      <c r="U183" s="34"/>
    </row>
    <row r="184" s="25" customFormat="true" ht="41.4" hidden="false" customHeight="false" outlineLevel="0" collapsed="false">
      <c r="A184" s="36" t="s">
        <v>522</v>
      </c>
      <c r="B184" s="26" t="s">
        <v>523</v>
      </c>
      <c r="C184" s="14" t="s">
        <v>524</v>
      </c>
      <c r="D184" s="15" t="n">
        <v>12</v>
      </c>
      <c r="E184" s="27" t="n">
        <f aca="false">16000*1.2</f>
        <v>19200</v>
      </c>
      <c r="F184" s="16" t="n">
        <f aca="false">CEILING(30444*1.2,1)</f>
        <v>36533</v>
      </c>
      <c r="G184" s="15" t="s">
        <v>36</v>
      </c>
      <c r="H184" s="17" t="s">
        <v>25</v>
      </c>
      <c r="I184" s="18" t="s">
        <v>26</v>
      </c>
      <c r="J184" s="15" t="n">
        <v>2017</v>
      </c>
      <c r="K184" s="19" t="s">
        <v>27</v>
      </c>
      <c r="L184" s="15" t="s">
        <v>28</v>
      </c>
      <c r="M184" s="15" t="s">
        <v>33</v>
      </c>
      <c r="N184" s="17" t="s">
        <v>512</v>
      </c>
      <c r="O184" s="15"/>
      <c r="P184" s="15"/>
      <c r="Q184" s="21" t="s">
        <v>78</v>
      </c>
      <c r="R184" s="21"/>
      <c r="S184" s="21"/>
      <c r="T184" s="31" t="n">
        <v>45893</v>
      </c>
      <c r="U184" s="24"/>
    </row>
    <row r="185" s="25" customFormat="true" ht="41.4" hidden="false" customHeight="false" outlineLevel="0" collapsed="false">
      <c r="A185" s="36" t="s">
        <v>525</v>
      </c>
      <c r="B185" s="26" t="s">
        <v>526</v>
      </c>
      <c r="C185" s="14" t="s">
        <v>524</v>
      </c>
      <c r="D185" s="15" t="n">
        <v>12</v>
      </c>
      <c r="E185" s="27" t="n">
        <f aca="false">16800*1.2</f>
        <v>20160</v>
      </c>
      <c r="F185" s="16" t="n">
        <f aca="false">32940*1.2</f>
        <v>39528</v>
      </c>
      <c r="G185" s="15" t="s">
        <v>36</v>
      </c>
      <c r="H185" s="17" t="s">
        <v>25</v>
      </c>
      <c r="I185" s="18" t="s">
        <v>26</v>
      </c>
      <c r="J185" s="15" t="n">
        <v>2017</v>
      </c>
      <c r="K185" s="19" t="s">
        <v>27</v>
      </c>
      <c r="L185" s="15" t="s">
        <v>28</v>
      </c>
      <c r="M185" s="15" t="s">
        <v>33</v>
      </c>
      <c r="N185" s="17" t="s">
        <v>512</v>
      </c>
      <c r="O185" s="15"/>
      <c r="P185" s="15"/>
      <c r="Q185" s="21" t="s">
        <v>78</v>
      </c>
      <c r="R185" s="21"/>
      <c r="S185" s="21"/>
      <c r="T185" s="31" t="n">
        <v>45893</v>
      </c>
      <c r="U185" s="24"/>
    </row>
    <row r="186" s="25" customFormat="true" ht="41.4" hidden="false" customHeight="false" outlineLevel="0" collapsed="false">
      <c r="A186" s="36" t="s">
        <v>527</v>
      </c>
      <c r="B186" s="12"/>
      <c r="C186" s="14" t="s">
        <v>528</v>
      </c>
      <c r="D186" s="15" t="n">
        <v>6</v>
      </c>
      <c r="E186" s="27" t="n">
        <f aca="false">F186/2</f>
        <v>608</v>
      </c>
      <c r="F186" s="16" t="n">
        <f aca="false">FLOOR(1014*1.2,1)</f>
        <v>1216</v>
      </c>
      <c r="G186" s="15" t="s">
        <v>36</v>
      </c>
      <c r="H186" s="17" t="s">
        <v>25</v>
      </c>
      <c r="I186" s="18" t="s">
        <v>26</v>
      </c>
      <c r="J186" s="15" t="n">
        <v>2023</v>
      </c>
      <c r="K186" s="19" t="s">
        <v>27</v>
      </c>
      <c r="L186" s="15" t="s">
        <v>28</v>
      </c>
      <c r="M186" s="15" t="s">
        <v>33</v>
      </c>
      <c r="N186" s="12"/>
      <c r="O186" s="12"/>
      <c r="P186" s="12"/>
      <c r="Q186" s="12"/>
      <c r="R186" s="12"/>
      <c r="S186" s="12"/>
      <c r="T186" s="44"/>
      <c r="U186" s="45"/>
      <c r="V186" s="46"/>
      <c r="W186" s="46"/>
    </row>
    <row r="187" s="25" customFormat="true" ht="41.4" hidden="false" customHeight="false" outlineLevel="0" collapsed="false">
      <c r="A187" s="36" t="s">
        <v>529</v>
      </c>
      <c r="B187" s="26" t="s">
        <v>530</v>
      </c>
      <c r="C187" s="14" t="s">
        <v>531</v>
      </c>
      <c r="D187" s="15" t="n">
        <v>6</v>
      </c>
      <c r="E187" s="27" t="n">
        <f aca="false">F187/2</f>
        <v>1580</v>
      </c>
      <c r="F187" s="16" t="n">
        <v>3160</v>
      </c>
      <c r="G187" s="15" t="s">
        <v>36</v>
      </c>
      <c r="H187" s="17" t="s">
        <v>25</v>
      </c>
      <c r="I187" s="18" t="s">
        <v>26</v>
      </c>
      <c r="J187" s="15" t="n">
        <v>2020</v>
      </c>
      <c r="K187" s="19" t="s">
        <v>27</v>
      </c>
      <c r="L187" s="15" t="s">
        <v>28</v>
      </c>
      <c r="M187" s="15" t="s">
        <v>33</v>
      </c>
      <c r="N187" s="20" t="s">
        <v>72</v>
      </c>
      <c r="O187" s="15"/>
      <c r="P187" s="15"/>
      <c r="Q187" s="21"/>
      <c r="R187" s="21"/>
      <c r="S187" s="21"/>
      <c r="T187" s="28"/>
      <c r="U187" s="34"/>
    </row>
    <row r="188" s="25" customFormat="true" ht="41.4" hidden="false" customHeight="false" outlineLevel="0" collapsed="false">
      <c r="A188" s="36" t="s">
        <v>532</v>
      </c>
      <c r="B188" s="26" t="s">
        <v>533</v>
      </c>
      <c r="C188" s="14"/>
      <c r="D188" s="15" t="n">
        <v>12</v>
      </c>
      <c r="E188" s="27" t="n">
        <v>1300</v>
      </c>
      <c r="F188" s="16" t="n">
        <v>2600</v>
      </c>
      <c r="G188" s="15" t="s">
        <v>354</v>
      </c>
      <c r="H188" s="17" t="s">
        <v>25</v>
      </c>
      <c r="I188" s="18" t="s">
        <v>26</v>
      </c>
      <c r="J188" s="15" t="n">
        <v>2004</v>
      </c>
      <c r="K188" s="19" t="s">
        <v>27</v>
      </c>
      <c r="L188" s="15" t="s">
        <v>28</v>
      </c>
      <c r="M188" s="15" t="s">
        <v>33</v>
      </c>
      <c r="N188" s="17"/>
      <c r="O188" s="15"/>
      <c r="P188" s="15"/>
      <c r="Q188" s="21" t="s">
        <v>534</v>
      </c>
      <c r="R188" s="21"/>
      <c r="S188" s="21"/>
      <c r="T188" s="28"/>
      <c r="U188" s="24" t="s">
        <v>535</v>
      </c>
    </row>
    <row r="189" s="25" customFormat="true" ht="41.4" hidden="false" customHeight="false" outlineLevel="0" collapsed="false">
      <c r="A189" s="36" t="s">
        <v>536</v>
      </c>
      <c r="B189" s="26" t="s">
        <v>537</v>
      </c>
      <c r="C189" s="14" t="s">
        <v>538</v>
      </c>
      <c r="D189" s="15" t="n">
        <v>6</v>
      </c>
      <c r="E189" s="27" t="n">
        <f aca="false">F189/2</f>
        <v>50</v>
      </c>
      <c r="F189" s="16" t="n">
        <v>100</v>
      </c>
      <c r="G189" s="15" t="s">
        <v>24</v>
      </c>
      <c r="H189" s="17" t="s">
        <v>25</v>
      </c>
      <c r="I189" s="18" t="s">
        <v>26</v>
      </c>
      <c r="J189" s="15" t="n">
        <v>2009</v>
      </c>
      <c r="K189" s="19" t="s">
        <v>27</v>
      </c>
      <c r="L189" s="15" t="s">
        <v>28</v>
      </c>
      <c r="M189" s="15" t="s">
        <v>33</v>
      </c>
      <c r="N189" s="17" t="s">
        <v>66</v>
      </c>
      <c r="O189" s="15"/>
      <c r="P189" s="15"/>
      <c r="Q189" s="21" t="s">
        <v>539</v>
      </c>
      <c r="R189" s="21"/>
      <c r="S189" s="21"/>
      <c r="T189" s="28"/>
      <c r="U189" s="24" t="s">
        <v>540</v>
      </c>
    </row>
    <row r="190" s="25" customFormat="true" ht="41.4" hidden="false" customHeight="false" outlineLevel="0" collapsed="false">
      <c r="A190" s="36" t="s">
        <v>541</v>
      </c>
      <c r="B190" s="26" t="s">
        <v>542</v>
      </c>
      <c r="C190" s="14" t="s">
        <v>538</v>
      </c>
      <c r="D190" s="15" t="n">
        <v>6</v>
      </c>
      <c r="E190" s="27" t="n">
        <f aca="false">F190/2</f>
        <v>50</v>
      </c>
      <c r="F190" s="16" t="n">
        <v>100</v>
      </c>
      <c r="G190" s="15" t="s">
        <v>24</v>
      </c>
      <c r="H190" s="17" t="s">
        <v>25</v>
      </c>
      <c r="I190" s="18" t="s">
        <v>26</v>
      </c>
      <c r="J190" s="15" t="n">
        <v>2009</v>
      </c>
      <c r="K190" s="19" t="s">
        <v>27</v>
      </c>
      <c r="L190" s="15" t="s">
        <v>28</v>
      </c>
      <c r="M190" s="15" t="s">
        <v>33</v>
      </c>
      <c r="N190" s="17" t="s">
        <v>543</v>
      </c>
      <c r="O190" s="15"/>
      <c r="P190" s="15"/>
      <c r="Q190" s="21" t="s">
        <v>539</v>
      </c>
      <c r="R190" s="21"/>
      <c r="S190" s="21"/>
      <c r="T190" s="28"/>
      <c r="U190" s="24" t="s">
        <v>544</v>
      </c>
    </row>
    <row r="191" s="25" customFormat="true" ht="45.6" hidden="false" customHeight="false" outlineLevel="0" collapsed="false">
      <c r="A191" s="36" t="s">
        <v>545</v>
      </c>
      <c r="B191" s="26" t="s">
        <v>546</v>
      </c>
      <c r="C191" s="14" t="s">
        <v>547</v>
      </c>
      <c r="D191" s="15" t="n">
        <v>4</v>
      </c>
      <c r="E191" s="27" t="n">
        <f aca="false">F191/2</f>
        <v>2280</v>
      </c>
      <c r="F191" s="16" t="n">
        <v>4560</v>
      </c>
      <c r="G191" s="15" t="s">
        <v>36</v>
      </c>
      <c r="H191" s="17" t="s">
        <v>25</v>
      </c>
      <c r="I191" s="18" t="s">
        <v>26</v>
      </c>
      <c r="J191" s="15" t="n">
        <v>2022</v>
      </c>
      <c r="K191" s="19" t="s">
        <v>27</v>
      </c>
      <c r="L191" s="15" t="s">
        <v>28</v>
      </c>
      <c r="M191" s="15" t="s">
        <v>33</v>
      </c>
      <c r="N191" s="17" t="s">
        <v>83</v>
      </c>
      <c r="O191" s="15"/>
      <c r="P191" s="15"/>
      <c r="Q191" s="21"/>
      <c r="R191" s="21"/>
      <c r="S191" s="21"/>
      <c r="T191" s="28"/>
      <c r="U191" s="24" t="s">
        <v>548</v>
      </c>
    </row>
    <row r="192" s="25" customFormat="true" ht="41.4" hidden="false" customHeight="false" outlineLevel="0" collapsed="false">
      <c r="A192" s="36" t="s">
        <v>549</v>
      </c>
      <c r="B192" s="26" t="s">
        <v>550</v>
      </c>
      <c r="C192" s="14" t="s">
        <v>327</v>
      </c>
      <c r="D192" s="15" t="n">
        <v>6</v>
      </c>
      <c r="E192" s="27" t="n">
        <f aca="false">F192/2</f>
        <v>50</v>
      </c>
      <c r="F192" s="16" t="n">
        <v>100</v>
      </c>
      <c r="G192" s="15" t="s">
        <v>36</v>
      </c>
      <c r="H192" s="17" t="s">
        <v>25</v>
      </c>
      <c r="I192" s="18" t="s">
        <v>26</v>
      </c>
      <c r="J192" s="15" t="n">
        <v>2017</v>
      </c>
      <c r="K192" s="19" t="s">
        <v>27</v>
      </c>
      <c r="L192" s="15" t="s">
        <v>28</v>
      </c>
      <c r="M192" s="15" t="s">
        <v>33</v>
      </c>
      <c r="N192" s="17" t="s">
        <v>83</v>
      </c>
      <c r="O192" s="15"/>
      <c r="P192" s="15"/>
      <c r="Q192" s="21" t="s">
        <v>302</v>
      </c>
      <c r="R192" s="21"/>
      <c r="S192" s="21"/>
      <c r="T192" s="31" t="n">
        <v>45925</v>
      </c>
      <c r="U192" s="24"/>
    </row>
    <row r="193" s="25" customFormat="true" ht="41.4" hidden="false" customHeight="false" outlineLevel="0" collapsed="false">
      <c r="A193" s="36" t="s">
        <v>551</v>
      </c>
      <c r="B193" s="26"/>
      <c r="C193" s="14" t="s">
        <v>552</v>
      </c>
      <c r="D193" s="15" t="n">
        <v>4</v>
      </c>
      <c r="E193" s="27" t="n">
        <f aca="false">F193/2</f>
        <v>50</v>
      </c>
      <c r="F193" s="16" t="n">
        <v>100</v>
      </c>
      <c r="G193" s="15" t="s">
        <v>36</v>
      </c>
      <c r="H193" s="17" t="s">
        <v>25</v>
      </c>
      <c r="I193" s="18" t="s">
        <v>26</v>
      </c>
      <c r="J193" s="15" t="n">
        <v>2014</v>
      </c>
      <c r="K193" s="19" t="s">
        <v>553</v>
      </c>
      <c r="L193" s="15" t="s">
        <v>28</v>
      </c>
      <c r="M193" s="15" t="s">
        <v>33</v>
      </c>
      <c r="N193" s="17" t="s">
        <v>83</v>
      </c>
      <c r="O193" s="15"/>
      <c r="P193" s="15"/>
      <c r="Q193" s="21" t="s">
        <v>302</v>
      </c>
      <c r="R193" s="21"/>
      <c r="S193" s="21"/>
      <c r="T193" s="28"/>
      <c r="U193" s="24"/>
    </row>
    <row r="194" s="25" customFormat="true" ht="57" hidden="false" customHeight="false" outlineLevel="0" collapsed="false">
      <c r="A194" s="36" t="s">
        <v>554</v>
      </c>
      <c r="B194" s="26" t="s">
        <v>555</v>
      </c>
      <c r="C194" s="14"/>
      <c r="D194" s="15" t="n">
        <v>12</v>
      </c>
      <c r="E194" s="27" t="n">
        <v>6000</v>
      </c>
      <c r="F194" s="16" t="n">
        <v>12000</v>
      </c>
      <c r="G194" s="15" t="s">
        <v>354</v>
      </c>
      <c r="H194" s="17" t="s">
        <v>25</v>
      </c>
      <c r="I194" s="18" t="s">
        <v>26</v>
      </c>
      <c r="J194" s="15" t="n">
        <v>2000</v>
      </c>
      <c r="K194" s="19" t="s">
        <v>27</v>
      </c>
      <c r="L194" s="15" t="s">
        <v>28</v>
      </c>
      <c r="M194" s="15" t="s">
        <v>33</v>
      </c>
      <c r="N194" s="17"/>
      <c r="O194" s="15"/>
      <c r="P194" s="15"/>
      <c r="Q194" s="21" t="s">
        <v>534</v>
      </c>
      <c r="R194" s="21"/>
      <c r="S194" s="21"/>
      <c r="T194" s="28"/>
      <c r="U194" s="24" t="s">
        <v>556</v>
      </c>
    </row>
    <row r="195" s="25" customFormat="true" ht="41.4" hidden="false" customHeight="false" outlineLevel="0" collapsed="false">
      <c r="A195" s="36" t="s">
        <v>557</v>
      </c>
      <c r="B195" s="26"/>
      <c r="C195" s="14" t="s">
        <v>558</v>
      </c>
      <c r="D195" s="15" t="n">
        <v>12</v>
      </c>
      <c r="E195" s="27" t="n">
        <f aca="false">F195/2</f>
        <v>28800</v>
      </c>
      <c r="F195" s="16" t="n">
        <f aca="false">48000*1.2</f>
        <v>57600</v>
      </c>
      <c r="G195" s="15" t="s">
        <v>36</v>
      </c>
      <c r="H195" s="17" t="s">
        <v>25</v>
      </c>
      <c r="I195" s="18" t="s">
        <v>26</v>
      </c>
      <c r="J195" s="15" t="n">
        <v>2024</v>
      </c>
      <c r="K195" s="19" t="s">
        <v>27</v>
      </c>
      <c r="L195" s="15" t="s">
        <v>28</v>
      </c>
      <c r="M195" s="15" t="s">
        <v>33</v>
      </c>
      <c r="N195" s="17" t="s">
        <v>83</v>
      </c>
      <c r="O195" s="15"/>
      <c r="P195" s="15"/>
      <c r="Q195" s="21"/>
      <c r="R195" s="21"/>
      <c r="S195" s="21"/>
      <c r="T195" s="31" t="n">
        <v>45807</v>
      </c>
      <c r="U195" s="34"/>
    </row>
    <row r="196" s="25" customFormat="true" ht="41.4" hidden="false" customHeight="false" outlineLevel="0" collapsed="false">
      <c r="A196" s="36" t="s">
        <v>559</v>
      </c>
      <c r="B196" s="26" t="s">
        <v>560</v>
      </c>
      <c r="C196" s="14" t="s">
        <v>561</v>
      </c>
      <c r="D196" s="15" t="n">
        <v>6</v>
      </c>
      <c r="E196" s="27" t="n">
        <f aca="false">F196/2</f>
        <v>1944</v>
      </c>
      <c r="F196" s="16" t="n">
        <f aca="false">3240*1.2</f>
        <v>3888</v>
      </c>
      <c r="G196" s="15" t="s">
        <v>36</v>
      </c>
      <c r="H196" s="17" t="s">
        <v>25</v>
      </c>
      <c r="I196" s="18" t="s">
        <v>26</v>
      </c>
      <c r="J196" s="15" t="n">
        <v>2021</v>
      </c>
      <c r="K196" s="19" t="s">
        <v>27</v>
      </c>
      <c r="L196" s="15" t="s">
        <v>28</v>
      </c>
      <c r="M196" s="15" t="s">
        <v>33</v>
      </c>
      <c r="N196" s="20" t="s">
        <v>83</v>
      </c>
      <c r="O196" s="15"/>
      <c r="P196" s="15"/>
      <c r="Q196" s="21"/>
      <c r="R196" s="21"/>
      <c r="S196" s="21"/>
      <c r="T196" s="28"/>
      <c r="U196" s="34"/>
    </row>
    <row r="197" s="25" customFormat="true" ht="41.4" hidden="false" customHeight="false" outlineLevel="0" collapsed="false">
      <c r="A197" s="36" t="s">
        <v>562</v>
      </c>
      <c r="B197" s="26"/>
      <c r="C197" s="14" t="s">
        <v>249</v>
      </c>
      <c r="D197" s="15" t="n">
        <v>4</v>
      </c>
      <c r="E197" s="27" t="n">
        <f aca="false">F197/2</f>
        <v>11250</v>
      </c>
      <c r="F197" s="16" t="n">
        <v>22500</v>
      </c>
      <c r="G197" s="15" t="s">
        <v>36</v>
      </c>
      <c r="H197" s="17" t="s">
        <v>25</v>
      </c>
      <c r="I197" s="18" t="s">
        <v>26</v>
      </c>
      <c r="J197" s="15" t="n">
        <v>2023</v>
      </c>
      <c r="K197" s="19" t="s">
        <v>27</v>
      </c>
      <c r="L197" s="15" t="s">
        <v>28</v>
      </c>
      <c r="M197" s="15" t="s">
        <v>33</v>
      </c>
      <c r="N197" s="20"/>
      <c r="O197" s="15"/>
      <c r="P197" s="15"/>
      <c r="Q197" s="21"/>
      <c r="R197" s="21"/>
      <c r="S197" s="21"/>
      <c r="T197" s="28"/>
      <c r="U197" s="34"/>
    </row>
    <row r="198" s="25" customFormat="true" ht="41.4" hidden="false" customHeight="false" outlineLevel="0" collapsed="false">
      <c r="A198" s="39" t="s">
        <v>563</v>
      </c>
      <c r="B198" s="30"/>
      <c r="C198" s="14" t="s">
        <v>264</v>
      </c>
      <c r="D198" s="15" t="n">
        <v>12</v>
      </c>
      <c r="E198" s="27" t="n">
        <f aca="false">F198/2</f>
        <v>69337.08</v>
      </c>
      <c r="F198" s="16" t="n">
        <f aca="false">149112*0.93</f>
        <v>138674.16</v>
      </c>
      <c r="G198" s="15" t="s">
        <v>36</v>
      </c>
      <c r="H198" s="17" t="s">
        <v>25</v>
      </c>
      <c r="I198" s="18" t="s">
        <v>26</v>
      </c>
      <c r="J198" s="15" t="n">
        <v>2024</v>
      </c>
      <c r="K198" s="19" t="s">
        <v>27</v>
      </c>
      <c r="L198" s="15" t="s">
        <v>28</v>
      </c>
      <c r="M198" s="15" t="s">
        <v>33</v>
      </c>
      <c r="N198" s="17" t="s">
        <v>512</v>
      </c>
      <c r="O198" s="15"/>
      <c r="P198" s="15"/>
      <c r="Q198" s="21"/>
      <c r="R198" s="21"/>
      <c r="S198" s="21"/>
      <c r="T198" s="31" t="n">
        <v>45880</v>
      </c>
      <c r="U198" s="24"/>
    </row>
    <row r="199" s="25" customFormat="true" ht="41.4" hidden="false" customHeight="false" outlineLevel="0" collapsed="false">
      <c r="A199" s="36" t="s">
        <v>564</v>
      </c>
      <c r="B199" s="26" t="s">
        <v>565</v>
      </c>
      <c r="C199" s="14" t="s">
        <v>566</v>
      </c>
      <c r="D199" s="15" t="n">
        <v>260</v>
      </c>
      <c r="E199" s="27" t="n">
        <f aca="false">F199/2</f>
        <v>5495</v>
      </c>
      <c r="F199" s="16" t="n">
        <v>10990</v>
      </c>
      <c r="G199" s="15" t="s">
        <v>36</v>
      </c>
      <c r="H199" s="17" t="s">
        <v>25</v>
      </c>
      <c r="I199" s="18" t="s">
        <v>26</v>
      </c>
      <c r="J199" s="15" t="n">
        <v>1999</v>
      </c>
      <c r="K199" s="19" t="s">
        <v>27</v>
      </c>
      <c r="L199" s="15" t="s">
        <v>103</v>
      </c>
      <c r="M199" s="15" t="s">
        <v>33</v>
      </c>
      <c r="N199" s="17" t="s">
        <v>343</v>
      </c>
      <c r="O199" s="15"/>
      <c r="P199" s="15"/>
      <c r="Q199" s="21" t="s">
        <v>344</v>
      </c>
      <c r="R199" s="21"/>
      <c r="S199" s="21"/>
      <c r="T199" s="28"/>
      <c r="U199" s="24" t="s">
        <v>567</v>
      </c>
    </row>
    <row r="200" s="25" customFormat="true" ht="41.4" hidden="false" customHeight="false" outlineLevel="0" collapsed="false">
      <c r="A200" s="36" t="s">
        <v>568</v>
      </c>
      <c r="B200" s="26" t="s">
        <v>569</v>
      </c>
      <c r="C200" s="14" t="s">
        <v>440</v>
      </c>
      <c r="D200" s="15" t="n">
        <v>4</v>
      </c>
      <c r="E200" s="27" t="n">
        <f aca="false">F200/2</f>
        <v>50</v>
      </c>
      <c r="F200" s="16" t="n">
        <v>100</v>
      </c>
      <c r="G200" s="15" t="s">
        <v>36</v>
      </c>
      <c r="H200" s="17" t="s">
        <v>25</v>
      </c>
      <c r="I200" s="18" t="s">
        <v>26</v>
      </c>
      <c r="J200" s="17" t="n">
        <v>2020</v>
      </c>
      <c r="K200" s="19" t="s">
        <v>27</v>
      </c>
      <c r="L200" s="15" t="s">
        <v>28</v>
      </c>
      <c r="M200" s="15" t="s">
        <v>33</v>
      </c>
      <c r="N200" s="20" t="s">
        <v>83</v>
      </c>
      <c r="O200" s="15"/>
      <c r="P200" s="15"/>
      <c r="Q200" s="21"/>
      <c r="R200" s="21"/>
      <c r="S200" s="21"/>
      <c r="T200" s="28"/>
      <c r="U200" s="34"/>
    </row>
    <row r="201" s="25" customFormat="true" ht="41.4" hidden="false" customHeight="false" outlineLevel="0" collapsed="false">
      <c r="A201" s="36" t="s">
        <v>570</v>
      </c>
      <c r="B201" s="26" t="s">
        <v>571</v>
      </c>
      <c r="C201" s="14"/>
      <c r="D201" s="15" t="n">
        <v>8</v>
      </c>
      <c r="E201" s="27" t="n">
        <f aca="false">F201/2</f>
        <v>1782</v>
      </c>
      <c r="F201" s="16" t="n">
        <v>3564</v>
      </c>
      <c r="G201" s="15" t="s">
        <v>36</v>
      </c>
      <c r="H201" s="17" t="s">
        <v>25</v>
      </c>
      <c r="I201" s="18" t="s">
        <v>26</v>
      </c>
      <c r="J201" s="15" t="n">
        <v>2017</v>
      </c>
      <c r="K201" s="19" t="s">
        <v>27</v>
      </c>
      <c r="L201" s="15" t="s">
        <v>28</v>
      </c>
      <c r="M201" s="15" t="s">
        <v>33</v>
      </c>
      <c r="N201" s="17" t="s">
        <v>572</v>
      </c>
      <c r="O201" s="15"/>
      <c r="P201" s="15"/>
      <c r="Q201" s="21" t="s">
        <v>78</v>
      </c>
      <c r="R201" s="21"/>
      <c r="S201" s="21"/>
      <c r="T201" s="28"/>
      <c r="U201" s="24"/>
    </row>
    <row r="202" s="25" customFormat="true" ht="41.4" hidden="false" customHeight="false" outlineLevel="0" collapsed="false">
      <c r="A202" s="36" t="s">
        <v>573</v>
      </c>
      <c r="B202" s="26" t="s">
        <v>574</v>
      </c>
      <c r="C202" s="14" t="s">
        <v>465</v>
      </c>
      <c r="D202" s="15" t="n">
        <v>6</v>
      </c>
      <c r="E202" s="27" t="n">
        <f aca="false">F202/2</f>
        <v>15920</v>
      </c>
      <c r="F202" s="16" t="n">
        <v>31840</v>
      </c>
      <c r="G202" s="15" t="s">
        <v>36</v>
      </c>
      <c r="H202" s="17" t="s">
        <v>25</v>
      </c>
      <c r="I202" s="18" t="s">
        <v>26</v>
      </c>
      <c r="J202" s="15" t="n">
        <v>2021</v>
      </c>
      <c r="K202" s="19" t="s">
        <v>27</v>
      </c>
      <c r="L202" s="15" t="s">
        <v>28</v>
      </c>
      <c r="M202" s="15" t="s">
        <v>33</v>
      </c>
      <c r="N202" s="20" t="s">
        <v>397</v>
      </c>
      <c r="O202" s="15"/>
      <c r="P202" s="15"/>
      <c r="Q202" s="21"/>
      <c r="R202" s="21"/>
      <c r="S202" s="21"/>
      <c r="T202" s="31" t="n">
        <v>45859</v>
      </c>
      <c r="U202" s="34"/>
    </row>
    <row r="203" s="25" customFormat="true" ht="41.4" hidden="false" customHeight="false" outlineLevel="0" collapsed="false">
      <c r="A203" s="36" t="s">
        <v>575</v>
      </c>
      <c r="B203" s="26" t="s">
        <v>576</v>
      </c>
      <c r="C203" s="14"/>
      <c r="D203" s="15" t="n">
        <v>4</v>
      </c>
      <c r="E203" s="27" t="n">
        <v>250</v>
      </c>
      <c r="F203" s="16" t="n">
        <v>500</v>
      </c>
      <c r="G203" s="15" t="s">
        <v>354</v>
      </c>
      <c r="H203" s="17" t="s">
        <v>25</v>
      </c>
      <c r="I203" s="18" t="s">
        <v>26</v>
      </c>
      <c r="J203" s="15" t="n">
        <v>2014</v>
      </c>
      <c r="K203" s="19" t="s">
        <v>65</v>
      </c>
      <c r="L203" s="15" t="s">
        <v>28</v>
      </c>
      <c r="M203" s="15" t="s">
        <v>33</v>
      </c>
      <c r="N203" s="17" t="s">
        <v>375</v>
      </c>
      <c r="O203" s="15"/>
      <c r="P203" s="15"/>
      <c r="Q203" s="21" t="s">
        <v>577</v>
      </c>
      <c r="R203" s="21"/>
      <c r="S203" s="21"/>
      <c r="T203" s="28"/>
      <c r="U203" s="24"/>
    </row>
    <row r="204" s="25" customFormat="true" ht="41.4" hidden="false" customHeight="false" outlineLevel="0" collapsed="false">
      <c r="A204" s="36" t="s">
        <v>578</v>
      </c>
      <c r="B204" s="26"/>
      <c r="C204" s="14" t="s">
        <v>579</v>
      </c>
      <c r="D204" s="15" t="n">
        <v>4</v>
      </c>
      <c r="E204" s="27" t="n">
        <f aca="false">F204/2</f>
        <v>4800</v>
      </c>
      <c r="F204" s="16" t="n">
        <f aca="false">8000*1.2</f>
        <v>9600</v>
      </c>
      <c r="G204" s="15" t="s">
        <v>36</v>
      </c>
      <c r="H204" s="17" t="s">
        <v>25</v>
      </c>
      <c r="I204" s="18" t="s">
        <v>26</v>
      </c>
      <c r="J204" s="15" t="n">
        <v>2023</v>
      </c>
      <c r="K204" s="19" t="s">
        <v>27</v>
      </c>
      <c r="L204" s="15" t="s">
        <v>28</v>
      </c>
      <c r="M204" s="15" t="s">
        <v>33</v>
      </c>
      <c r="N204" s="17"/>
      <c r="O204" s="15"/>
      <c r="P204" s="15"/>
      <c r="Q204" s="21"/>
      <c r="R204" s="21"/>
      <c r="S204" s="21"/>
      <c r="T204" s="28"/>
      <c r="U204" s="24"/>
    </row>
    <row r="205" s="25" customFormat="true" ht="41.4" hidden="false" customHeight="false" outlineLevel="0" collapsed="false">
      <c r="A205" s="36" t="s">
        <v>580</v>
      </c>
      <c r="B205" s="26" t="s">
        <v>581</v>
      </c>
      <c r="C205" s="14" t="s">
        <v>582</v>
      </c>
      <c r="D205" s="15" t="n">
        <v>4</v>
      </c>
      <c r="E205" s="27" t="n">
        <f aca="false">F205/2</f>
        <v>2000</v>
      </c>
      <c r="F205" s="16" t="n">
        <f aca="false">4000</f>
        <v>4000</v>
      </c>
      <c r="G205" s="15" t="s">
        <v>36</v>
      </c>
      <c r="H205" s="17" t="s">
        <v>25</v>
      </c>
      <c r="I205" s="18" t="s">
        <v>26</v>
      </c>
      <c r="J205" s="15" t="n">
        <v>2017</v>
      </c>
      <c r="K205" s="19" t="s">
        <v>27</v>
      </c>
      <c r="L205" s="15" t="s">
        <v>28</v>
      </c>
      <c r="M205" s="15" t="s">
        <v>33</v>
      </c>
      <c r="N205" s="17" t="s">
        <v>40</v>
      </c>
      <c r="O205" s="15"/>
      <c r="P205" s="15"/>
      <c r="Q205" s="21" t="s">
        <v>41</v>
      </c>
      <c r="R205" s="21"/>
      <c r="S205" s="21"/>
      <c r="T205" s="28"/>
      <c r="U205" s="24"/>
    </row>
    <row r="206" s="25" customFormat="true" ht="41.4" hidden="false" customHeight="false" outlineLevel="0" collapsed="false">
      <c r="A206" s="36" t="s">
        <v>583</v>
      </c>
      <c r="B206" s="26"/>
      <c r="C206" s="14" t="s">
        <v>404</v>
      </c>
      <c r="D206" s="15" t="n">
        <v>4</v>
      </c>
      <c r="E206" s="27" t="n">
        <f aca="false">F206/2</f>
        <v>3600</v>
      </c>
      <c r="F206" s="16" t="n">
        <v>7200</v>
      </c>
      <c r="G206" s="15" t="s">
        <v>36</v>
      </c>
      <c r="H206" s="17" t="s">
        <v>25</v>
      </c>
      <c r="I206" s="18" t="s">
        <v>26</v>
      </c>
      <c r="J206" s="15" t="n">
        <v>2018</v>
      </c>
      <c r="K206" s="19" t="s">
        <v>27</v>
      </c>
      <c r="L206" s="15" t="s">
        <v>28</v>
      </c>
      <c r="M206" s="15" t="s">
        <v>33</v>
      </c>
      <c r="N206" s="17" t="s">
        <v>72</v>
      </c>
      <c r="O206" s="15"/>
      <c r="P206" s="15"/>
      <c r="Q206" s="21"/>
      <c r="R206" s="21" t="s">
        <v>30</v>
      </c>
      <c r="S206" s="21"/>
      <c r="T206" s="31" t="n">
        <v>45848</v>
      </c>
      <c r="U206" s="24"/>
    </row>
    <row r="207" s="25" customFormat="true" ht="91.2" hidden="false" customHeight="false" outlineLevel="0" collapsed="false">
      <c r="A207" s="36" t="s">
        <v>584</v>
      </c>
      <c r="B207" s="26" t="s">
        <v>585</v>
      </c>
      <c r="C207" s="14"/>
      <c r="D207" s="15" t="n">
        <v>4</v>
      </c>
      <c r="E207" s="27" t="n">
        <f aca="false">F207/2</f>
        <v>750</v>
      </c>
      <c r="F207" s="16" t="n">
        <v>1500</v>
      </c>
      <c r="G207" s="15" t="s">
        <v>24</v>
      </c>
      <c r="H207" s="17" t="s">
        <v>25</v>
      </c>
      <c r="I207" s="18" t="s">
        <v>26</v>
      </c>
      <c r="J207" s="15" t="n">
        <v>2006</v>
      </c>
      <c r="K207" s="19" t="s">
        <v>27</v>
      </c>
      <c r="L207" s="15" t="s">
        <v>28</v>
      </c>
      <c r="M207" s="15" t="s">
        <v>33</v>
      </c>
      <c r="N207" s="17"/>
      <c r="O207" s="15"/>
      <c r="P207" s="15"/>
      <c r="Q207" s="21" t="s">
        <v>455</v>
      </c>
      <c r="R207" s="21"/>
      <c r="S207" s="21"/>
      <c r="T207" s="28"/>
      <c r="U207" s="24" t="s">
        <v>586</v>
      </c>
    </row>
    <row r="208" s="25" customFormat="true" ht="41.4" hidden="false" customHeight="false" outlineLevel="0" collapsed="false">
      <c r="A208" s="36" t="s">
        <v>587</v>
      </c>
      <c r="B208" s="26" t="s">
        <v>588</v>
      </c>
      <c r="C208" s="14" t="s">
        <v>589</v>
      </c>
      <c r="D208" s="15" t="n">
        <v>2</v>
      </c>
      <c r="E208" s="27" t="n">
        <f aca="false">F208/2</f>
        <v>50</v>
      </c>
      <c r="F208" s="16" t="n">
        <v>100</v>
      </c>
      <c r="G208" s="15" t="s">
        <v>36</v>
      </c>
      <c r="H208" s="17" t="s">
        <v>25</v>
      </c>
      <c r="I208" s="18" t="s">
        <v>26</v>
      </c>
      <c r="J208" s="15" t="n">
        <v>2020</v>
      </c>
      <c r="K208" s="19" t="s">
        <v>27</v>
      </c>
      <c r="L208" s="15" t="s">
        <v>28</v>
      </c>
      <c r="M208" s="15" t="s">
        <v>33</v>
      </c>
      <c r="N208" s="20"/>
      <c r="O208" s="15"/>
      <c r="P208" s="15"/>
      <c r="Q208" s="21"/>
      <c r="R208" s="21"/>
      <c r="S208" s="21"/>
      <c r="T208" s="28"/>
      <c r="U208" s="34"/>
    </row>
    <row r="209" s="25" customFormat="true" ht="41.4" hidden="false" customHeight="false" outlineLevel="0" collapsed="false">
      <c r="A209" s="36" t="s">
        <v>590</v>
      </c>
      <c r="B209" s="26" t="s">
        <v>591</v>
      </c>
      <c r="C209" s="14" t="s">
        <v>233</v>
      </c>
      <c r="D209" s="15" t="n">
        <v>12</v>
      </c>
      <c r="E209" s="27" t="n">
        <f aca="false">F209/2</f>
        <v>4300</v>
      </c>
      <c r="F209" s="16" t="n">
        <v>8600</v>
      </c>
      <c r="G209" s="15" t="s">
        <v>36</v>
      </c>
      <c r="H209" s="17" t="s">
        <v>25</v>
      </c>
      <c r="I209" s="18" t="s">
        <v>26</v>
      </c>
      <c r="J209" s="15" t="n">
        <v>2021</v>
      </c>
      <c r="K209" s="19" t="s">
        <v>234</v>
      </c>
      <c r="L209" s="15" t="s">
        <v>28</v>
      </c>
      <c r="M209" s="15" t="s">
        <v>33</v>
      </c>
      <c r="N209" s="20"/>
      <c r="O209" s="15"/>
      <c r="P209" s="15"/>
      <c r="Q209" s="21"/>
      <c r="R209" s="21"/>
      <c r="S209" s="21"/>
      <c r="T209" s="28"/>
      <c r="U209" s="34"/>
    </row>
    <row r="210" s="25" customFormat="true" ht="41.4" hidden="false" customHeight="false" outlineLevel="0" collapsed="false">
      <c r="A210" s="36" t="s">
        <v>592</v>
      </c>
      <c r="B210" s="26" t="s">
        <v>593</v>
      </c>
      <c r="C210" s="14" t="s">
        <v>357</v>
      </c>
      <c r="D210" s="15" t="n">
        <v>6</v>
      </c>
      <c r="E210" s="27" t="n">
        <f aca="false">F210/2</f>
        <v>792</v>
      </c>
      <c r="F210" s="16" t="n">
        <v>1584</v>
      </c>
      <c r="G210" s="15" t="s">
        <v>36</v>
      </c>
      <c r="H210" s="17" t="s">
        <v>25</v>
      </c>
      <c r="I210" s="18" t="s">
        <v>26</v>
      </c>
      <c r="J210" s="15" t="n">
        <v>2016</v>
      </c>
      <c r="K210" s="19" t="s">
        <v>27</v>
      </c>
      <c r="L210" s="15" t="s">
        <v>28</v>
      </c>
      <c r="M210" s="15" t="s">
        <v>33</v>
      </c>
      <c r="N210" s="17" t="s">
        <v>40</v>
      </c>
      <c r="O210" s="15"/>
      <c r="P210" s="15"/>
      <c r="Q210" s="21" t="s">
        <v>41</v>
      </c>
      <c r="R210" s="21"/>
      <c r="S210" s="21"/>
      <c r="T210" s="28"/>
      <c r="U210" s="24"/>
    </row>
    <row r="211" s="25" customFormat="true" ht="41.4" hidden="false" customHeight="false" outlineLevel="0" collapsed="false">
      <c r="A211" s="47" t="s">
        <v>594</v>
      </c>
      <c r="B211" s="48" t="s">
        <v>595</v>
      </c>
      <c r="C211" s="49" t="s">
        <v>596</v>
      </c>
      <c r="D211" s="50" t="n">
        <v>4</v>
      </c>
      <c r="E211" s="51" t="n">
        <f aca="false">F211/2</f>
        <v>396</v>
      </c>
      <c r="F211" s="52" t="n">
        <v>792</v>
      </c>
      <c r="G211" s="50" t="s">
        <v>36</v>
      </c>
      <c r="H211" s="53" t="s">
        <v>25</v>
      </c>
      <c r="I211" s="54" t="s">
        <v>26</v>
      </c>
      <c r="J211" s="50" t="n">
        <v>2016</v>
      </c>
      <c r="K211" s="55" t="s">
        <v>27</v>
      </c>
      <c r="L211" s="50" t="s">
        <v>28</v>
      </c>
      <c r="M211" s="50" t="s">
        <v>33</v>
      </c>
      <c r="N211" s="53" t="s">
        <v>72</v>
      </c>
      <c r="O211" s="50"/>
      <c r="P211" s="50"/>
      <c r="Q211" s="56" t="s">
        <v>41</v>
      </c>
      <c r="R211" s="56"/>
      <c r="S211" s="56"/>
      <c r="T211" s="57"/>
      <c r="U211" s="58"/>
    </row>
    <row r="212" s="25" customFormat="true" ht="41.4" hidden="false" customHeight="false" outlineLevel="0" collapsed="false">
      <c r="A212" s="36" t="s">
        <v>597</v>
      </c>
      <c r="B212" s="26"/>
      <c r="C212" s="14" t="s">
        <v>497</v>
      </c>
      <c r="D212" s="15" t="n">
        <v>4</v>
      </c>
      <c r="E212" s="27" t="n">
        <f aca="false">F212/2</f>
        <v>50</v>
      </c>
      <c r="F212" s="16" t="n">
        <v>100</v>
      </c>
      <c r="G212" s="15" t="s">
        <v>36</v>
      </c>
      <c r="H212" s="17" t="s">
        <v>25</v>
      </c>
      <c r="I212" s="18" t="s">
        <v>26</v>
      </c>
      <c r="J212" s="15" t="n">
        <v>2025</v>
      </c>
      <c r="K212" s="19" t="s">
        <v>498</v>
      </c>
      <c r="L212" s="15" t="s">
        <v>28</v>
      </c>
      <c r="M212" s="15" t="s">
        <v>33</v>
      </c>
      <c r="N212" s="17" t="s">
        <v>83</v>
      </c>
      <c r="O212" s="15"/>
      <c r="P212" s="15"/>
      <c r="Q212" s="21"/>
      <c r="R212" s="21"/>
      <c r="S212" s="21"/>
      <c r="T212" s="28"/>
      <c r="U212" s="24"/>
    </row>
    <row r="213" s="25" customFormat="true" ht="41.4" hidden="false" customHeight="false" outlineLevel="0" collapsed="false">
      <c r="A213" s="36" t="s">
        <v>598</v>
      </c>
      <c r="B213" s="26" t="s">
        <v>599</v>
      </c>
      <c r="C213" s="14" t="s">
        <v>296</v>
      </c>
      <c r="D213" s="15" t="n">
        <v>4</v>
      </c>
      <c r="E213" s="27" t="n">
        <v>50</v>
      </c>
      <c r="F213" s="16" t="n">
        <v>100</v>
      </c>
      <c r="G213" s="15" t="s">
        <v>36</v>
      </c>
      <c r="H213" s="17" t="s">
        <v>25</v>
      </c>
      <c r="I213" s="18" t="s">
        <v>26</v>
      </c>
      <c r="J213" s="15" t="n">
        <v>2019</v>
      </c>
      <c r="K213" s="19" t="s">
        <v>27</v>
      </c>
      <c r="L213" s="15" t="s">
        <v>28</v>
      </c>
      <c r="M213" s="15" t="s">
        <v>33</v>
      </c>
      <c r="N213" s="17" t="s">
        <v>600</v>
      </c>
      <c r="O213" s="15"/>
      <c r="P213" s="15"/>
      <c r="Q213" s="21" t="s">
        <v>78</v>
      </c>
      <c r="R213" s="21"/>
      <c r="S213" s="21"/>
      <c r="T213" s="28"/>
      <c r="U213" s="24"/>
    </row>
    <row r="214" s="25" customFormat="true" ht="41.4" hidden="false" customHeight="false" outlineLevel="0" collapsed="false">
      <c r="A214" s="36" t="s">
        <v>601</v>
      </c>
      <c r="B214" s="26"/>
      <c r="C214" s="14" t="s">
        <v>246</v>
      </c>
      <c r="D214" s="15" t="n">
        <v>6</v>
      </c>
      <c r="E214" s="27" t="n">
        <f aca="false">F214/2</f>
        <v>12474</v>
      </c>
      <c r="F214" s="38" t="n">
        <v>24948</v>
      </c>
      <c r="G214" s="15" t="s">
        <v>36</v>
      </c>
      <c r="H214" s="17" t="s">
        <v>25</v>
      </c>
      <c r="I214" s="18" t="s">
        <v>26</v>
      </c>
      <c r="J214" s="15" t="n">
        <v>2025</v>
      </c>
      <c r="K214" s="19" t="s">
        <v>505</v>
      </c>
      <c r="L214" s="15" t="s">
        <v>28</v>
      </c>
      <c r="M214" s="15"/>
      <c r="N214" s="17"/>
      <c r="O214" s="15"/>
      <c r="P214" s="15"/>
      <c r="Q214" s="21"/>
      <c r="R214" s="21"/>
      <c r="S214" s="21"/>
      <c r="T214" s="31" t="n">
        <v>45882</v>
      </c>
      <c r="U214" s="24"/>
    </row>
    <row r="215" s="25" customFormat="true" ht="41.4" hidden="false" customHeight="false" outlineLevel="0" collapsed="false">
      <c r="A215" s="36" t="s">
        <v>602</v>
      </c>
      <c r="B215" s="26" t="s">
        <v>603</v>
      </c>
      <c r="C215" s="14" t="s">
        <v>604</v>
      </c>
      <c r="D215" s="15" t="n">
        <v>6</v>
      </c>
      <c r="E215" s="27" t="n">
        <f aca="false">F215/2</f>
        <v>1500</v>
      </c>
      <c r="F215" s="16" t="n">
        <v>3000</v>
      </c>
      <c r="G215" s="15" t="s">
        <v>36</v>
      </c>
      <c r="H215" s="17" t="s">
        <v>25</v>
      </c>
      <c r="I215" s="18" t="s">
        <v>26</v>
      </c>
      <c r="J215" s="15" t="n">
        <v>2019</v>
      </c>
      <c r="K215" s="19" t="s">
        <v>27</v>
      </c>
      <c r="L215" s="15" t="s">
        <v>28</v>
      </c>
      <c r="M215" s="15" t="s">
        <v>33</v>
      </c>
      <c r="N215" s="20"/>
      <c r="O215" s="15"/>
      <c r="P215" s="15"/>
      <c r="Q215" s="21"/>
      <c r="R215" s="21"/>
      <c r="S215" s="21"/>
      <c r="T215" s="28"/>
      <c r="U215" s="34"/>
    </row>
    <row r="216" s="25" customFormat="true" ht="41.4" hidden="false" customHeight="false" outlineLevel="0" collapsed="false">
      <c r="A216" s="36" t="s">
        <v>605</v>
      </c>
      <c r="B216" s="26" t="s">
        <v>606</v>
      </c>
      <c r="C216" s="14" t="s">
        <v>246</v>
      </c>
      <c r="D216" s="15" t="n">
        <v>4</v>
      </c>
      <c r="E216" s="27" t="n">
        <f aca="false">F216/2</f>
        <v>1982</v>
      </c>
      <c r="F216" s="38" t="n">
        <v>3964</v>
      </c>
      <c r="G216" s="15" t="s">
        <v>24</v>
      </c>
      <c r="H216" s="17" t="s">
        <v>25</v>
      </c>
      <c r="I216" s="18" t="s">
        <v>26</v>
      </c>
      <c r="J216" s="15" t="n">
        <v>2000</v>
      </c>
      <c r="K216" s="19" t="s">
        <v>27</v>
      </c>
      <c r="L216" s="15" t="s">
        <v>28</v>
      </c>
      <c r="M216" s="15" t="s">
        <v>33</v>
      </c>
      <c r="N216" s="17" t="s">
        <v>175</v>
      </c>
      <c r="O216" s="15"/>
      <c r="P216" s="15"/>
      <c r="Q216" s="21" t="s">
        <v>280</v>
      </c>
      <c r="R216" s="21"/>
      <c r="S216" s="21"/>
      <c r="T216" s="31" t="n">
        <v>45882</v>
      </c>
      <c r="U216" s="24" t="s">
        <v>607</v>
      </c>
    </row>
    <row r="217" s="25" customFormat="true" ht="41.4" hidden="false" customHeight="false" outlineLevel="0" collapsed="false">
      <c r="A217" s="36" t="s">
        <v>608</v>
      </c>
      <c r="B217" s="26"/>
      <c r="C217" s="14" t="s">
        <v>609</v>
      </c>
      <c r="D217" s="15" t="n">
        <v>4</v>
      </c>
      <c r="E217" s="27" t="n">
        <f aca="false">F217/2</f>
        <v>1714</v>
      </c>
      <c r="F217" s="16" t="n">
        <v>3428</v>
      </c>
      <c r="G217" s="15" t="s">
        <v>36</v>
      </c>
      <c r="H217" s="17" t="s">
        <v>25</v>
      </c>
      <c r="I217" s="18" t="s">
        <v>26</v>
      </c>
      <c r="J217" s="15" t="n">
        <v>2025</v>
      </c>
      <c r="K217" s="19" t="s">
        <v>27</v>
      </c>
      <c r="L217" s="15" t="s">
        <v>28</v>
      </c>
      <c r="M217" s="15" t="s">
        <v>33</v>
      </c>
      <c r="N217" s="17"/>
      <c r="O217" s="15"/>
      <c r="P217" s="15"/>
      <c r="Q217" s="21" t="s">
        <v>78</v>
      </c>
      <c r="R217" s="21"/>
      <c r="S217" s="21" t="s">
        <v>113</v>
      </c>
      <c r="T217" s="31" t="n">
        <v>45855</v>
      </c>
      <c r="U217" s="24"/>
    </row>
    <row r="218" s="25" customFormat="true" ht="41.4" hidden="false" customHeight="false" outlineLevel="0" collapsed="false">
      <c r="A218" s="36" t="s">
        <v>610</v>
      </c>
      <c r="B218" s="26" t="s">
        <v>611</v>
      </c>
      <c r="C218" s="14" t="s">
        <v>612</v>
      </c>
      <c r="D218" s="15" t="n">
        <v>4</v>
      </c>
      <c r="E218" s="27" t="n">
        <f aca="false">F218/2</f>
        <v>360</v>
      </c>
      <c r="F218" s="16" t="n">
        <v>720</v>
      </c>
      <c r="G218" s="15" t="s">
        <v>36</v>
      </c>
      <c r="H218" s="17" t="s">
        <v>25</v>
      </c>
      <c r="I218" s="18" t="s">
        <v>26</v>
      </c>
      <c r="J218" s="15" t="n">
        <v>2019</v>
      </c>
      <c r="K218" s="19" t="s">
        <v>27</v>
      </c>
      <c r="L218" s="15" t="s">
        <v>28</v>
      </c>
      <c r="M218" s="15" t="s">
        <v>33</v>
      </c>
      <c r="N218" s="20" t="s">
        <v>83</v>
      </c>
      <c r="O218" s="15"/>
      <c r="P218" s="15"/>
      <c r="Q218" s="21"/>
      <c r="R218" s="21"/>
      <c r="S218" s="21"/>
      <c r="T218" s="28"/>
      <c r="U218" s="34"/>
    </row>
    <row r="219" s="25" customFormat="true" ht="41.4" hidden="false" customHeight="false" outlineLevel="0" collapsed="false">
      <c r="A219" s="36" t="s">
        <v>613</v>
      </c>
      <c r="B219" s="26" t="s">
        <v>614</v>
      </c>
      <c r="C219" s="14" t="s">
        <v>122</v>
      </c>
      <c r="D219" s="15" t="n">
        <v>12</v>
      </c>
      <c r="E219" s="27" t="n">
        <v>23628</v>
      </c>
      <c r="F219" s="16" t="n">
        <v>39204</v>
      </c>
      <c r="G219" s="15" t="s">
        <v>36</v>
      </c>
      <c r="H219" s="17" t="s">
        <v>25</v>
      </c>
      <c r="I219" s="18" t="s">
        <v>26</v>
      </c>
      <c r="J219" s="15" t="n">
        <v>2017</v>
      </c>
      <c r="K219" s="19" t="s">
        <v>27</v>
      </c>
      <c r="L219" s="15" t="s">
        <v>28</v>
      </c>
      <c r="M219" s="15" t="s">
        <v>33</v>
      </c>
      <c r="N219" s="17" t="s">
        <v>96</v>
      </c>
      <c r="O219" s="15"/>
      <c r="P219" s="15"/>
      <c r="Q219" s="21"/>
      <c r="R219" s="21"/>
      <c r="S219" s="21"/>
      <c r="T219" s="28"/>
      <c r="U219" s="24"/>
    </row>
    <row r="220" s="25" customFormat="true" ht="55.2" hidden="false" customHeight="false" outlineLevel="0" collapsed="false">
      <c r="A220" s="36" t="s">
        <v>615</v>
      </c>
      <c r="B220" s="26"/>
      <c r="C220" s="14" t="s">
        <v>616</v>
      </c>
      <c r="D220" s="15" t="n">
        <v>4</v>
      </c>
      <c r="E220" s="27" t="n">
        <f aca="false">F220/2</f>
        <v>600</v>
      </c>
      <c r="F220" s="16" t="n">
        <v>1200</v>
      </c>
      <c r="G220" s="15" t="s">
        <v>36</v>
      </c>
      <c r="H220" s="17" t="s">
        <v>25</v>
      </c>
      <c r="I220" s="18" t="s">
        <v>26</v>
      </c>
      <c r="J220" s="15" t="n">
        <v>2024</v>
      </c>
      <c r="K220" s="19" t="s">
        <v>617</v>
      </c>
      <c r="L220" s="15" t="s">
        <v>28</v>
      </c>
      <c r="M220" s="15" t="s">
        <v>33</v>
      </c>
      <c r="N220" s="17"/>
      <c r="O220" s="15"/>
      <c r="P220" s="15"/>
      <c r="Q220" s="21"/>
      <c r="R220" s="21"/>
      <c r="S220" s="21"/>
      <c r="T220" s="28"/>
      <c r="U220" s="24"/>
    </row>
    <row r="221" s="25" customFormat="true" ht="41.4" hidden="false" customHeight="false" outlineLevel="0" collapsed="false">
      <c r="A221" s="36" t="s">
        <v>618</v>
      </c>
      <c r="B221" s="26"/>
      <c r="C221" s="14" t="s">
        <v>107</v>
      </c>
      <c r="D221" s="15" t="n">
        <v>4</v>
      </c>
      <c r="E221" s="27" t="n">
        <f aca="false">F221/2</f>
        <v>857.5</v>
      </c>
      <c r="F221" s="16" t="n">
        <v>1715</v>
      </c>
      <c r="G221" s="15" t="s">
        <v>36</v>
      </c>
      <c r="H221" s="17" t="s">
        <v>25</v>
      </c>
      <c r="I221" s="18" t="s">
        <v>26</v>
      </c>
      <c r="J221" s="15" t="n">
        <v>2025</v>
      </c>
      <c r="K221" s="19" t="s">
        <v>108</v>
      </c>
      <c r="L221" s="15" t="s">
        <v>28</v>
      </c>
      <c r="M221" s="15" t="s">
        <v>33</v>
      </c>
      <c r="N221" s="17"/>
      <c r="O221" s="15"/>
      <c r="P221" s="15"/>
      <c r="Q221" s="21"/>
      <c r="R221" s="21"/>
      <c r="S221" s="21"/>
      <c r="T221" s="31" t="n">
        <v>45884</v>
      </c>
      <c r="U221" s="24"/>
    </row>
    <row r="222" s="25" customFormat="true" ht="41.4" hidden="false" customHeight="false" outlineLevel="0" collapsed="false">
      <c r="A222" s="36" t="s">
        <v>619</v>
      </c>
      <c r="B222" s="26"/>
      <c r="C222" s="14" t="s">
        <v>107</v>
      </c>
      <c r="D222" s="15" t="n">
        <v>4</v>
      </c>
      <c r="E222" s="27" t="n">
        <f aca="false">F222/2</f>
        <v>857.5</v>
      </c>
      <c r="F222" s="16" t="n">
        <v>1715</v>
      </c>
      <c r="G222" s="15" t="s">
        <v>36</v>
      </c>
      <c r="H222" s="17" t="s">
        <v>25</v>
      </c>
      <c r="I222" s="18" t="s">
        <v>26</v>
      </c>
      <c r="J222" s="15" t="n">
        <v>2025</v>
      </c>
      <c r="K222" s="19" t="s">
        <v>108</v>
      </c>
      <c r="L222" s="15" t="s">
        <v>28</v>
      </c>
      <c r="M222" s="15" t="s">
        <v>33</v>
      </c>
      <c r="N222" s="17"/>
      <c r="O222" s="15"/>
      <c r="P222" s="15"/>
      <c r="Q222" s="21"/>
      <c r="R222" s="21"/>
      <c r="S222" s="21"/>
      <c r="T222" s="31" t="n">
        <v>45884</v>
      </c>
      <c r="U222" s="24"/>
    </row>
    <row r="223" s="25" customFormat="true" ht="41.4" hidden="false" customHeight="false" outlineLevel="0" collapsed="false">
      <c r="A223" s="36" t="s">
        <v>620</v>
      </c>
      <c r="B223" s="26"/>
      <c r="C223" s="14" t="s">
        <v>621</v>
      </c>
      <c r="D223" s="15" t="n">
        <v>4</v>
      </c>
      <c r="E223" s="16" t="n">
        <f aca="false">F223/2</f>
        <v>50</v>
      </c>
      <c r="F223" s="16" t="n">
        <v>100</v>
      </c>
      <c r="G223" s="15" t="s">
        <v>36</v>
      </c>
      <c r="H223" s="17" t="s">
        <v>25</v>
      </c>
      <c r="I223" s="18" t="s">
        <v>26</v>
      </c>
      <c r="J223" s="15" t="n">
        <v>2025</v>
      </c>
      <c r="K223" s="19" t="s">
        <v>108</v>
      </c>
      <c r="L223" s="15" t="s">
        <v>28</v>
      </c>
      <c r="M223" s="15" t="s">
        <v>33</v>
      </c>
      <c r="N223" s="17"/>
      <c r="O223" s="15"/>
      <c r="P223" s="15"/>
      <c r="Q223" s="21"/>
      <c r="R223" s="21"/>
      <c r="S223" s="21"/>
      <c r="T223" s="28"/>
      <c r="U223" s="24"/>
    </row>
    <row r="224" s="25" customFormat="true" ht="41.4" hidden="false" customHeight="false" outlineLevel="0" collapsed="false">
      <c r="A224" s="36" t="s">
        <v>622</v>
      </c>
      <c r="B224" s="26" t="s">
        <v>623</v>
      </c>
      <c r="C224" s="14" t="s">
        <v>122</v>
      </c>
      <c r="D224" s="15" t="n">
        <v>12</v>
      </c>
      <c r="E224" s="27" t="n">
        <v>23628</v>
      </c>
      <c r="F224" s="16" t="n">
        <v>39204</v>
      </c>
      <c r="G224" s="15" t="s">
        <v>36</v>
      </c>
      <c r="H224" s="17" t="s">
        <v>25</v>
      </c>
      <c r="I224" s="18" t="s">
        <v>26</v>
      </c>
      <c r="J224" s="15" t="n">
        <v>2017</v>
      </c>
      <c r="K224" s="19" t="s">
        <v>27</v>
      </c>
      <c r="L224" s="15" t="s">
        <v>28</v>
      </c>
      <c r="M224" s="15" t="s">
        <v>33</v>
      </c>
      <c r="N224" s="17" t="s">
        <v>96</v>
      </c>
      <c r="O224" s="15"/>
      <c r="P224" s="15"/>
      <c r="Q224" s="21"/>
      <c r="R224" s="21"/>
      <c r="S224" s="21"/>
      <c r="T224" s="28"/>
      <c r="U224" s="24"/>
    </row>
    <row r="225" s="25" customFormat="true" ht="41.4" hidden="false" customHeight="false" outlineLevel="0" collapsed="false">
      <c r="A225" s="36" t="s">
        <v>624</v>
      </c>
      <c r="B225" s="26"/>
      <c r="C225" s="14" t="s">
        <v>625</v>
      </c>
      <c r="D225" s="15" t="n">
        <v>12</v>
      </c>
      <c r="E225" s="27" t="n">
        <v>52767</v>
      </c>
      <c r="F225" s="16" t="n">
        <f aca="false">E225*2</f>
        <v>105534</v>
      </c>
      <c r="G225" s="15" t="s">
        <v>36</v>
      </c>
      <c r="H225" s="17" t="s">
        <v>25</v>
      </c>
      <c r="I225" s="18" t="s">
        <v>26</v>
      </c>
      <c r="J225" s="15" t="n">
        <v>2023</v>
      </c>
      <c r="K225" s="19" t="s">
        <v>27</v>
      </c>
      <c r="L225" s="15" t="s">
        <v>28</v>
      </c>
      <c r="M225" s="15" t="s">
        <v>33</v>
      </c>
      <c r="N225" s="20"/>
      <c r="O225" s="15"/>
      <c r="P225" s="15"/>
      <c r="Q225" s="21"/>
      <c r="R225" s="21"/>
      <c r="S225" s="21"/>
      <c r="T225" s="31" t="n">
        <v>45893</v>
      </c>
      <c r="U225" s="34"/>
    </row>
    <row r="226" s="25" customFormat="true" ht="41.4" hidden="false" customHeight="false" outlineLevel="0" collapsed="false">
      <c r="A226" s="36" t="s">
        <v>626</v>
      </c>
      <c r="B226" s="26"/>
      <c r="C226" s="14" t="s">
        <v>627</v>
      </c>
      <c r="D226" s="15" t="n">
        <v>12</v>
      </c>
      <c r="E226" s="27" t="n">
        <f aca="false">F226/2</f>
        <v>50</v>
      </c>
      <c r="F226" s="16" t="n">
        <v>100</v>
      </c>
      <c r="G226" s="15" t="s">
        <v>36</v>
      </c>
      <c r="H226" s="17" t="s">
        <v>25</v>
      </c>
      <c r="I226" s="18" t="s">
        <v>26</v>
      </c>
      <c r="J226" s="15" t="n">
        <v>2023</v>
      </c>
      <c r="K226" s="19" t="s">
        <v>628</v>
      </c>
      <c r="L226" s="15" t="s">
        <v>28</v>
      </c>
      <c r="M226" s="15" t="s">
        <v>33</v>
      </c>
      <c r="N226" s="20" t="s">
        <v>270</v>
      </c>
      <c r="O226" s="15" t="s">
        <v>46</v>
      </c>
      <c r="P226" s="15"/>
      <c r="Q226" s="21"/>
      <c r="R226" s="21"/>
      <c r="S226" s="21"/>
      <c r="T226" s="28"/>
      <c r="U226" s="34"/>
    </row>
    <row r="227" s="25" customFormat="true" ht="41.4" hidden="false" customHeight="false" outlineLevel="0" collapsed="false">
      <c r="A227" s="36" t="s">
        <v>629</v>
      </c>
      <c r="B227" s="26" t="s">
        <v>630</v>
      </c>
      <c r="C227" s="14" t="s">
        <v>197</v>
      </c>
      <c r="D227" s="15" t="n">
        <v>4</v>
      </c>
      <c r="E227" s="27" t="n">
        <f aca="false">F227/2</f>
        <v>625</v>
      </c>
      <c r="F227" s="16" t="n">
        <v>1250</v>
      </c>
      <c r="G227" s="15" t="s">
        <v>36</v>
      </c>
      <c r="H227" s="17" t="s">
        <v>25</v>
      </c>
      <c r="I227" s="18" t="s">
        <v>26</v>
      </c>
      <c r="J227" s="15" t="n">
        <v>2020</v>
      </c>
      <c r="K227" s="19" t="s">
        <v>27</v>
      </c>
      <c r="L227" s="15" t="s">
        <v>28</v>
      </c>
      <c r="M227" s="15" t="s">
        <v>33</v>
      </c>
      <c r="N227" s="20"/>
      <c r="O227" s="15"/>
      <c r="P227" s="15"/>
      <c r="Q227" s="21"/>
      <c r="R227" s="21"/>
      <c r="S227" s="21"/>
      <c r="T227" s="28"/>
      <c r="U227" s="34"/>
    </row>
    <row r="228" s="25" customFormat="true" ht="41.4" hidden="false" customHeight="false" outlineLevel="0" collapsed="false">
      <c r="A228" s="36" t="s">
        <v>631</v>
      </c>
      <c r="B228" s="26"/>
      <c r="C228" s="14" t="s">
        <v>632</v>
      </c>
      <c r="D228" s="15" t="n">
        <v>4</v>
      </c>
      <c r="E228" s="27"/>
      <c r="F228" s="16"/>
      <c r="G228" s="15" t="s">
        <v>36</v>
      </c>
      <c r="H228" s="17" t="s">
        <v>25</v>
      </c>
      <c r="I228" s="18" t="s">
        <v>26</v>
      </c>
      <c r="J228" s="15" t="n">
        <v>2018</v>
      </c>
      <c r="K228" s="19" t="s">
        <v>27</v>
      </c>
      <c r="L228" s="15" t="s">
        <v>28</v>
      </c>
      <c r="M228" s="15" t="s">
        <v>33</v>
      </c>
      <c r="N228" s="17"/>
      <c r="O228" s="15"/>
      <c r="P228" s="15"/>
      <c r="Q228" s="21"/>
      <c r="R228" s="21"/>
      <c r="S228" s="21"/>
      <c r="T228" s="28"/>
      <c r="U228" s="24"/>
    </row>
    <row r="229" s="25" customFormat="true" ht="41.4" hidden="false" customHeight="false" outlineLevel="0" collapsed="false">
      <c r="A229" s="36" t="s">
        <v>633</v>
      </c>
      <c r="B229" s="26" t="s">
        <v>634</v>
      </c>
      <c r="C229" s="14"/>
      <c r="D229" s="15" t="n">
        <v>4</v>
      </c>
      <c r="E229" s="27" t="n">
        <v>500</v>
      </c>
      <c r="F229" s="16" t="n">
        <v>1000</v>
      </c>
      <c r="G229" s="15" t="s">
        <v>354</v>
      </c>
      <c r="H229" s="17" t="s">
        <v>25</v>
      </c>
      <c r="I229" s="18" t="s">
        <v>26</v>
      </c>
      <c r="J229" s="15"/>
      <c r="K229" s="19" t="s">
        <v>117</v>
      </c>
      <c r="L229" s="15" t="s">
        <v>28</v>
      </c>
      <c r="M229" s="15" t="s">
        <v>33</v>
      </c>
      <c r="N229" s="17"/>
      <c r="O229" s="15"/>
      <c r="P229" s="15"/>
      <c r="Q229" s="21" t="s">
        <v>78</v>
      </c>
      <c r="R229" s="21"/>
      <c r="S229" s="21"/>
      <c r="T229" s="28"/>
      <c r="U229" s="24"/>
    </row>
    <row r="230" s="25" customFormat="true" ht="41.4" hidden="false" customHeight="false" outlineLevel="0" collapsed="false">
      <c r="A230" s="36" t="s">
        <v>635</v>
      </c>
      <c r="B230" s="26" t="s">
        <v>636</v>
      </c>
      <c r="C230" s="14" t="s">
        <v>243</v>
      </c>
      <c r="D230" s="15" t="n">
        <v>12</v>
      </c>
      <c r="E230" s="27" t="n">
        <f aca="false">F230/2</f>
        <v>77160</v>
      </c>
      <c r="F230" s="16" t="n">
        <f aca="false">128600*1.2</f>
        <v>154320</v>
      </c>
      <c r="G230" s="15" t="s">
        <v>36</v>
      </c>
      <c r="H230" s="17" t="s">
        <v>25</v>
      </c>
      <c r="I230" s="18" t="s">
        <v>26</v>
      </c>
      <c r="J230" s="15" t="n">
        <v>2018</v>
      </c>
      <c r="K230" s="19" t="s">
        <v>27</v>
      </c>
      <c r="L230" s="15" t="s">
        <v>28</v>
      </c>
      <c r="M230" s="15" t="s">
        <v>33</v>
      </c>
      <c r="N230" s="17" t="s">
        <v>637</v>
      </c>
      <c r="O230" s="15"/>
      <c r="P230" s="15"/>
      <c r="Q230" s="21" t="s">
        <v>78</v>
      </c>
      <c r="R230" s="21"/>
      <c r="S230" s="21"/>
      <c r="T230" s="28"/>
      <c r="U230" s="24"/>
    </row>
    <row r="231" s="25" customFormat="true" ht="41.4" hidden="false" customHeight="false" outlineLevel="0" collapsed="false">
      <c r="A231" s="36" t="s">
        <v>638</v>
      </c>
      <c r="B231" s="26" t="s">
        <v>639</v>
      </c>
      <c r="C231" s="14" t="s">
        <v>640</v>
      </c>
      <c r="D231" s="15" t="n">
        <v>6</v>
      </c>
      <c r="E231" s="27" t="n">
        <f aca="false">F231/2</f>
        <v>50</v>
      </c>
      <c r="F231" s="16" t="n">
        <v>100</v>
      </c>
      <c r="G231" s="15" t="s">
        <v>36</v>
      </c>
      <c r="H231" s="17" t="s">
        <v>25</v>
      </c>
      <c r="I231" s="18" t="s">
        <v>26</v>
      </c>
      <c r="J231" s="15" t="n">
        <v>2019</v>
      </c>
      <c r="K231" s="19" t="s">
        <v>27</v>
      </c>
      <c r="L231" s="15" t="s">
        <v>28</v>
      </c>
      <c r="M231" s="15" t="s">
        <v>33</v>
      </c>
      <c r="N231" s="20"/>
      <c r="O231" s="15"/>
      <c r="P231" s="15"/>
      <c r="Q231" s="21"/>
      <c r="R231" s="21"/>
      <c r="S231" s="21"/>
      <c r="T231" s="28"/>
      <c r="U231" s="34"/>
    </row>
    <row r="232" s="25" customFormat="true" ht="41.4" hidden="false" customHeight="false" outlineLevel="0" collapsed="false">
      <c r="A232" s="36" t="s">
        <v>641</v>
      </c>
      <c r="B232" s="26" t="s">
        <v>642</v>
      </c>
      <c r="C232" s="14" t="s">
        <v>643</v>
      </c>
      <c r="D232" s="15" t="n">
        <v>6</v>
      </c>
      <c r="E232" s="27" t="n">
        <f aca="false">F232/2</f>
        <v>478</v>
      </c>
      <c r="F232" s="16" t="n">
        <v>956</v>
      </c>
      <c r="G232" s="15" t="s">
        <v>36</v>
      </c>
      <c r="H232" s="17" t="s">
        <v>25</v>
      </c>
      <c r="I232" s="18" t="s">
        <v>26</v>
      </c>
      <c r="J232" s="15" t="n">
        <v>2011</v>
      </c>
      <c r="K232" s="19" t="s">
        <v>27</v>
      </c>
      <c r="L232" s="15" t="s">
        <v>28</v>
      </c>
      <c r="M232" s="15" t="s">
        <v>33</v>
      </c>
      <c r="N232" s="17"/>
      <c r="O232" s="15" t="s">
        <v>46</v>
      </c>
      <c r="P232" s="15"/>
      <c r="Q232" s="21" t="s">
        <v>577</v>
      </c>
      <c r="R232" s="21"/>
      <c r="S232" s="21"/>
      <c r="T232" s="28"/>
      <c r="U232" s="24" t="s">
        <v>644</v>
      </c>
    </row>
    <row r="233" s="25" customFormat="true" ht="41.4" hidden="false" customHeight="false" outlineLevel="0" collapsed="false">
      <c r="A233" s="36" t="s">
        <v>645</v>
      </c>
      <c r="B233" s="26" t="s">
        <v>646</v>
      </c>
      <c r="C233" s="14" t="s">
        <v>643</v>
      </c>
      <c r="D233" s="15" t="n">
        <v>4</v>
      </c>
      <c r="E233" s="27" t="n">
        <f aca="false">F233/2</f>
        <v>478</v>
      </c>
      <c r="F233" s="16" t="n">
        <v>956</v>
      </c>
      <c r="G233" s="15" t="s">
        <v>36</v>
      </c>
      <c r="H233" s="17" t="s">
        <v>25</v>
      </c>
      <c r="I233" s="18" t="s">
        <v>26</v>
      </c>
      <c r="J233" s="15" t="n">
        <v>2011</v>
      </c>
      <c r="K233" s="19" t="s">
        <v>27</v>
      </c>
      <c r="L233" s="15" t="s">
        <v>28</v>
      </c>
      <c r="M233" s="15" t="s">
        <v>33</v>
      </c>
      <c r="N233" s="17" t="s">
        <v>637</v>
      </c>
      <c r="O233" s="15" t="s">
        <v>203</v>
      </c>
      <c r="P233" s="15"/>
      <c r="Q233" s="21" t="s">
        <v>577</v>
      </c>
      <c r="R233" s="21"/>
      <c r="S233" s="21"/>
      <c r="T233" s="28"/>
      <c r="U233" s="24" t="s">
        <v>644</v>
      </c>
    </row>
    <row r="234" s="25" customFormat="true" ht="41.4" hidden="false" customHeight="false" outlineLevel="0" collapsed="false">
      <c r="A234" s="36" t="s">
        <v>647</v>
      </c>
      <c r="B234" s="26" t="s">
        <v>648</v>
      </c>
      <c r="C234" s="14" t="s">
        <v>643</v>
      </c>
      <c r="D234" s="15" t="n">
        <v>4</v>
      </c>
      <c r="E234" s="27" t="n">
        <f aca="false">F234/2</f>
        <v>478</v>
      </c>
      <c r="F234" s="16" t="n">
        <v>956</v>
      </c>
      <c r="G234" s="15" t="s">
        <v>36</v>
      </c>
      <c r="H234" s="17" t="s">
        <v>25</v>
      </c>
      <c r="I234" s="18" t="s">
        <v>26</v>
      </c>
      <c r="J234" s="15" t="n">
        <v>2011</v>
      </c>
      <c r="K234" s="19" t="s">
        <v>27</v>
      </c>
      <c r="L234" s="15" t="s">
        <v>28</v>
      </c>
      <c r="M234" s="15" t="s">
        <v>33</v>
      </c>
      <c r="N234" s="17" t="s">
        <v>649</v>
      </c>
      <c r="O234" s="15" t="s">
        <v>203</v>
      </c>
      <c r="P234" s="15"/>
      <c r="Q234" s="21" t="s">
        <v>577</v>
      </c>
      <c r="R234" s="21"/>
      <c r="S234" s="21"/>
      <c r="T234" s="28"/>
      <c r="U234" s="24" t="s">
        <v>644</v>
      </c>
    </row>
    <row r="235" s="25" customFormat="true" ht="41.4" hidden="false" customHeight="false" outlineLevel="0" collapsed="false">
      <c r="A235" s="36" t="s">
        <v>650</v>
      </c>
      <c r="B235" s="26" t="s">
        <v>651</v>
      </c>
      <c r="C235" s="14" t="s">
        <v>538</v>
      </c>
      <c r="D235" s="15" t="n">
        <v>6</v>
      </c>
      <c r="E235" s="27" t="n">
        <f aca="false">F235/2</f>
        <v>50</v>
      </c>
      <c r="F235" s="16" t="n">
        <v>100</v>
      </c>
      <c r="G235" s="15" t="s">
        <v>24</v>
      </c>
      <c r="H235" s="17" t="s">
        <v>25</v>
      </c>
      <c r="I235" s="18" t="s">
        <v>26</v>
      </c>
      <c r="J235" s="15" t="n">
        <v>2009</v>
      </c>
      <c r="K235" s="19" t="s">
        <v>27</v>
      </c>
      <c r="L235" s="15" t="s">
        <v>28</v>
      </c>
      <c r="M235" s="15" t="s">
        <v>33</v>
      </c>
      <c r="N235" s="17" t="s">
        <v>139</v>
      </c>
      <c r="O235" s="15"/>
      <c r="P235" s="15"/>
      <c r="Q235" s="21" t="s">
        <v>539</v>
      </c>
      <c r="R235" s="21"/>
      <c r="S235" s="21"/>
      <c r="T235" s="28"/>
      <c r="U235" s="24" t="s">
        <v>652</v>
      </c>
    </row>
    <row r="236" s="25" customFormat="true" ht="41.4" hidden="false" customHeight="false" outlineLevel="0" collapsed="false">
      <c r="A236" s="36" t="s">
        <v>653</v>
      </c>
      <c r="B236" s="26" t="s">
        <v>654</v>
      </c>
      <c r="C236" s="14" t="s">
        <v>538</v>
      </c>
      <c r="D236" s="15" t="n">
        <v>6</v>
      </c>
      <c r="E236" s="27" t="n">
        <f aca="false">F236/2</f>
        <v>50</v>
      </c>
      <c r="F236" s="16" t="n">
        <v>100</v>
      </c>
      <c r="G236" s="15" t="s">
        <v>24</v>
      </c>
      <c r="H236" s="17" t="s">
        <v>25</v>
      </c>
      <c r="I236" s="18" t="s">
        <v>26</v>
      </c>
      <c r="J236" s="15" t="n">
        <v>2009</v>
      </c>
      <c r="K236" s="19" t="s">
        <v>27</v>
      </c>
      <c r="L236" s="15" t="s">
        <v>28</v>
      </c>
      <c r="M236" s="15" t="s">
        <v>33</v>
      </c>
      <c r="N236" s="17" t="s">
        <v>655</v>
      </c>
      <c r="O236" s="15" t="s">
        <v>54</v>
      </c>
      <c r="P236" s="15"/>
      <c r="Q236" s="21" t="s">
        <v>539</v>
      </c>
      <c r="R236" s="21"/>
      <c r="S236" s="21"/>
      <c r="T236" s="28"/>
      <c r="U236" s="24" t="s">
        <v>656</v>
      </c>
    </row>
    <row r="237" s="25" customFormat="true" ht="41.4" hidden="false" customHeight="false" outlineLevel="0" collapsed="false">
      <c r="A237" s="36" t="s">
        <v>657</v>
      </c>
      <c r="B237" s="26" t="s">
        <v>658</v>
      </c>
      <c r="C237" s="14" t="s">
        <v>538</v>
      </c>
      <c r="D237" s="15" t="n">
        <v>6</v>
      </c>
      <c r="E237" s="27" t="n">
        <f aca="false">F237/2</f>
        <v>50</v>
      </c>
      <c r="F237" s="16" t="n">
        <v>100</v>
      </c>
      <c r="G237" s="15" t="s">
        <v>24</v>
      </c>
      <c r="H237" s="17" t="s">
        <v>25</v>
      </c>
      <c r="I237" s="18" t="s">
        <v>26</v>
      </c>
      <c r="J237" s="15" t="n">
        <v>2009</v>
      </c>
      <c r="K237" s="19" t="s">
        <v>27</v>
      </c>
      <c r="L237" s="15" t="s">
        <v>28</v>
      </c>
      <c r="M237" s="15" t="s">
        <v>33</v>
      </c>
      <c r="N237" s="17" t="s">
        <v>72</v>
      </c>
      <c r="O237" s="15"/>
      <c r="P237" s="15"/>
      <c r="Q237" s="21" t="s">
        <v>539</v>
      </c>
      <c r="R237" s="21"/>
      <c r="S237" s="21"/>
      <c r="T237" s="28"/>
      <c r="U237" s="24" t="s">
        <v>659</v>
      </c>
    </row>
    <row r="238" s="25" customFormat="true" ht="41.4" hidden="false" customHeight="false" outlineLevel="0" collapsed="false">
      <c r="A238" s="36" t="s">
        <v>660</v>
      </c>
      <c r="B238" s="26" t="s">
        <v>661</v>
      </c>
      <c r="C238" s="14" t="s">
        <v>538</v>
      </c>
      <c r="D238" s="15" t="n">
        <v>6</v>
      </c>
      <c r="E238" s="27" t="n">
        <f aca="false">F238/2</f>
        <v>50</v>
      </c>
      <c r="F238" s="16" t="n">
        <v>100</v>
      </c>
      <c r="G238" s="15" t="s">
        <v>24</v>
      </c>
      <c r="H238" s="17" t="s">
        <v>25</v>
      </c>
      <c r="I238" s="18" t="s">
        <v>26</v>
      </c>
      <c r="J238" s="15" t="n">
        <v>2009</v>
      </c>
      <c r="K238" s="19" t="s">
        <v>27</v>
      </c>
      <c r="L238" s="15" t="s">
        <v>28</v>
      </c>
      <c r="M238" s="15" t="s">
        <v>33</v>
      </c>
      <c r="N238" s="17"/>
      <c r="O238" s="15"/>
      <c r="P238" s="15"/>
      <c r="Q238" s="21" t="s">
        <v>539</v>
      </c>
      <c r="R238" s="21"/>
      <c r="S238" s="21"/>
      <c r="T238" s="28"/>
      <c r="U238" s="24" t="s">
        <v>662</v>
      </c>
    </row>
    <row r="239" s="25" customFormat="true" ht="41.4" hidden="false" customHeight="false" outlineLevel="0" collapsed="false">
      <c r="A239" s="36" t="s">
        <v>663</v>
      </c>
      <c r="B239" s="26" t="s">
        <v>664</v>
      </c>
      <c r="C239" s="14" t="s">
        <v>538</v>
      </c>
      <c r="D239" s="15" t="n">
        <v>4</v>
      </c>
      <c r="E239" s="27" t="n">
        <f aca="false">F239/2</f>
        <v>50</v>
      </c>
      <c r="F239" s="16" t="n">
        <v>100</v>
      </c>
      <c r="G239" s="15" t="s">
        <v>24</v>
      </c>
      <c r="H239" s="17" t="s">
        <v>25</v>
      </c>
      <c r="I239" s="18" t="s">
        <v>26</v>
      </c>
      <c r="J239" s="15" t="n">
        <v>2009</v>
      </c>
      <c r="K239" s="19" t="s">
        <v>27</v>
      </c>
      <c r="L239" s="15" t="s">
        <v>28</v>
      </c>
      <c r="M239" s="15" t="s">
        <v>33</v>
      </c>
      <c r="N239" s="17" t="s">
        <v>279</v>
      </c>
      <c r="O239" s="15" t="s">
        <v>54</v>
      </c>
      <c r="P239" s="15"/>
      <c r="Q239" s="21" t="s">
        <v>539</v>
      </c>
      <c r="R239" s="21"/>
      <c r="S239" s="21"/>
      <c r="T239" s="28"/>
      <c r="U239" s="24" t="s">
        <v>665</v>
      </c>
    </row>
    <row r="240" s="25" customFormat="true" ht="41.4" hidden="false" customHeight="false" outlineLevel="0" collapsed="false">
      <c r="A240" s="36" t="s">
        <v>666</v>
      </c>
      <c r="B240" s="26" t="s">
        <v>667</v>
      </c>
      <c r="C240" s="14" t="s">
        <v>538</v>
      </c>
      <c r="D240" s="15" t="n">
        <v>4</v>
      </c>
      <c r="E240" s="27" t="n">
        <f aca="false">F240/2</f>
        <v>50</v>
      </c>
      <c r="F240" s="16" t="n">
        <v>100</v>
      </c>
      <c r="G240" s="15" t="s">
        <v>24</v>
      </c>
      <c r="H240" s="17" t="s">
        <v>25</v>
      </c>
      <c r="I240" s="18" t="s">
        <v>26</v>
      </c>
      <c r="J240" s="15" t="n">
        <v>2009</v>
      </c>
      <c r="K240" s="19" t="s">
        <v>27</v>
      </c>
      <c r="L240" s="15" t="s">
        <v>28</v>
      </c>
      <c r="M240" s="15" t="s">
        <v>33</v>
      </c>
      <c r="N240" s="17" t="s">
        <v>167</v>
      </c>
      <c r="O240" s="15"/>
      <c r="P240" s="15"/>
      <c r="Q240" s="21" t="s">
        <v>539</v>
      </c>
      <c r="R240" s="21"/>
      <c r="S240" s="21"/>
      <c r="T240" s="28"/>
      <c r="U240" s="24" t="s">
        <v>668</v>
      </c>
    </row>
    <row r="241" s="25" customFormat="true" ht="41.4" hidden="false" customHeight="false" outlineLevel="0" collapsed="false">
      <c r="A241" s="36" t="s">
        <v>669</v>
      </c>
      <c r="B241" s="26" t="s">
        <v>670</v>
      </c>
      <c r="C241" s="14" t="s">
        <v>538</v>
      </c>
      <c r="D241" s="15" t="n">
        <v>4</v>
      </c>
      <c r="E241" s="27" t="n">
        <f aca="false">F241/2</f>
        <v>50</v>
      </c>
      <c r="F241" s="16" t="n">
        <v>100</v>
      </c>
      <c r="G241" s="15" t="s">
        <v>24</v>
      </c>
      <c r="H241" s="17" t="s">
        <v>25</v>
      </c>
      <c r="I241" s="18" t="s">
        <v>26</v>
      </c>
      <c r="J241" s="15" t="n">
        <v>2009</v>
      </c>
      <c r="K241" s="19" t="s">
        <v>27</v>
      </c>
      <c r="L241" s="15" t="s">
        <v>28</v>
      </c>
      <c r="M241" s="15" t="s">
        <v>33</v>
      </c>
      <c r="N241" s="17" t="s">
        <v>671</v>
      </c>
      <c r="O241" s="15" t="s">
        <v>54</v>
      </c>
      <c r="P241" s="17" t="s">
        <v>672</v>
      </c>
      <c r="Q241" s="21" t="s">
        <v>539</v>
      </c>
      <c r="R241" s="21"/>
      <c r="S241" s="21"/>
      <c r="T241" s="28"/>
      <c r="U241" s="24" t="s">
        <v>673</v>
      </c>
    </row>
    <row r="242" s="25" customFormat="true" ht="41.4" hidden="false" customHeight="false" outlineLevel="0" collapsed="false">
      <c r="A242" s="36" t="s">
        <v>674</v>
      </c>
      <c r="B242" s="26" t="s">
        <v>675</v>
      </c>
      <c r="C242" s="14" t="s">
        <v>538</v>
      </c>
      <c r="D242" s="15" t="n">
        <v>4</v>
      </c>
      <c r="E242" s="27" t="n">
        <f aca="false">F242/2</f>
        <v>50</v>
      </c>
      <c r="F242" s="16" t="n">
        <v>100</v>
      </c>
      <c r="G242" s="15" t="s">
        <v>24</v>
      </c>
      <c r="H242" s="17" t="s">
        <v>25</v>
      </c>
      <c r="I242" s="18" t="s">
        <v>26</v>
      </c>
      <c r="J242" s="15" t="n">
        <v>2009</v>
      </c>
      <c r="K242" s="19" t="s">
        <v>27</v>
      </c>
      <c r="L242" s="15" t="s">
        <v>28</v>
      </c>
      <c r="M242" s="15" t="s">
        <v>33</v>
      </c>
      <c r="N242" s="17" t="s">
        <v>66</v>
      </c>
      <c r="O242" s="15"/>
      <c r="P242" s="15"/>
      <c r="Q242" s="21" t="s">
        <v>539</v>
      </c>
      <c r="R242" s="21"/>
      <c r="S242" s="21"/>
      <c r="T242" s="28"/>
      <c r="U242" s="24" t="s">
        <v>676</v>
      </c>
    </row>
    <row r="243" s="25" customFormat="true" ht="41.4" hidden="false" customHeight="false" outlineLevel="0" collapsed="false">
      <c r="A243" s="36" t="s">
        <v>677</v>
      </c>
      <c r="B243" s="26" t="s">
        <v>678</v>
      </c>
      <c r="C243" s="14" t="s">
        <v>538</v>
      </c>
      <c r="D243" s="15" t="n">
        <v>4</v>
      </c>
      <c r="E243" s="27" t="n">
        <f aca="false">F243/2</f>
        <v>50</v>
      </c>
      <c r="F243" s="16" t="n">
        <v>100</v>
      </c>
      <c r="G243" s="15" t="s">
        <v>24</v>
      </c>
      <c r="H243" s="17" t="s">
        <v>25</v>
      </c>
      <c r="I243" s="18" t="s">
        <v>26</v>
      </c>
      <c r="J243" s="15" t="n">
        <v>2009</v>
      </c>
      <c r="K243" s="19" t="s">
        <v>27</v>
      </c>
      <c r="L243" s="15" t="s">
        <v>28</v>
      </c>
      <c r="M243" s="15" t="s">
        <v>33</v>
      </c>
      <c r="N243" s="17"/>
      <c r="O243" s="15"/>
      <c r="P243" s="15"/>
      <c r="Q243" s="21" t="s">
        <v>539</v>
      </c>
      <c r="R243" s="21"/>
      <c r="S243" s="21"/>
      <c r="T243" s="28"/>
      <c r="U243" s="24" t="s">
        <v>679</v>
      </c>
    </row>
    <row r="244" s="25" customFormat="true" ht="41.4" hidden="false" customHeight="false" outlineLevel="0" collapsed="false">
      <c r="A244" s="36" t="s">
        <v>680</v>
      </c>
      <c r="B244" s="26" t="s">
        <v>681</v>
      </c>
      <c r="C244" s="14" t="s">
        <v>538</v>
      </c>
      <c r="D244" s="15" t="n">
        <v>4</v>
      </c>
      <c r="E244" s="27" t="n">
        <f aca="false">F244/2</f>
        <v>50</v>
      </c>
      <c r="F244" s="16" t="n">
        <v>100</v>
      </c>
      <c r="G244" s="15" t="s">
        <v>24</v>
      </c>
      <c r="H244" s="17" t="s">
        <v>25</v>
      </c>
      <c r="I244" s="18" t="s">
        <v>26</v>
      </c>
      <c r="J244" s="15" t="n">
        <v>2009</v>
      </c>
      <c r="K244" s="19" t="s">
        <v>27</v>
      </c>
      <c r="L244" s="15" t="s">
        <v>28</v>
      </c>
      <c r="M244" s="15" t="s">
        <v>33</v>
      </c>
      <c r="N244" s="17" t="s">
        <v>682</v>
      </c>
      <c r="O244" s="15" t="s">
        <v>54</v>
      </c>
      <c r="P244" s="15"/>
      <c r="Q244" s="21" t="s">
        <v>539</v>
      </c>
      <c r="R244" s="21"/>
      <c r="S244" s="21"/>
      <c r="T244" s="28"/>
      <c r="U244" s="24" t="s">
        <v>683</v>
      </c>
    </row>
    <row r="245" s="25" customFormat="true" ht="41.4" hidden="false" customHeight="false" outlineLevel="0" collapsed="false">
      <c r="A245" s="36" t="s">
        <v>684</v>
      </c>
      <c r="B245" s="26" t="s">
        <v>685</v>
      </c>
      <c r="C245" s="14" t="s">
        <v>538</v>
      </c>
      <c r="D245" s="15" t="n">
        <v>4</v>
      </c>
      <c r="E245" s="27" t="n">
        <f aca="false">F245/2</f>
        <v>50</v>
      </c>
      <c r="F245" s="16" t="n">
        <v>100</v>
      </c>
      <c r="G245" s="15" t="s">
        <v>24</v>
      </c>
      <c r="H245" s="17" t="s">
        <v>25</v>
      </c>
      <c r="I245" s="18" t="s">
        <v>26</v>
      </c>
      <c r="J245" s="15" t="n">
        <v>2008</v>
      </c>
      <c r="K245" s="19" t="s">
        <v>27</v>
      </c>
      <c r="L245" s="15" t="s">
        <v>28</v>
      </c>
      <c r="M245" s="15" t="s">
        <v>33</v>
      </c>
      <c r="N245" s="17"/>
      <c r="O245" s="15"/>
      <c r="P245" s="15"/>
      <c r="Q245" s="21" t="s">
        <v>539</v>
      </c>
      <c r="R245" s="21"/>
      <c r="S245" s="21"/>
      <c r="T245" s="28"/>
      <c r="U245" s="24" t="s">
        <v>686</v>
      </c>
    </row>
    <row r="246" s="25" customFormat="true" ht="41.4" hidden="false" customHeight="false" outlineLevel="0" collapsed="false">
      <c r="A246" s="36" t="s">
        <v>687</v>
      </c>
      <c r="B246" s="26" t="s">
        <v>688</v>
      </c>
      <c r="C246" s="14" t="s">
        <v>538</v>
      </c>
      <c r="D246" s="15" t="n">
        <v>6</v>
      </c>
      <c r="E246" s="27" t="n">
        <f aca="false">F246/2</f>
        <v>50</v>
      </c>
      <c r="F246" s="16" t="n">
        <v>100</v>
      </c>
      <c r="G246" s="15" t="s">
        <v>24</v>
      </c>
      <c r="H246" s="17" t="s">
        <v>25</v>
      </c>
      <c r="I246" s="18" t="s">
        <v>26</v>
      </c>
      <c r="J246" s="15" t="n">
        <v>2009</v>
      </c>
      <c r="K246" s="19" t="s">
        <v>27</v>
      </c>
      <c r="L246" s="15" t="s">
        <v>28</v>
      </c>
      <c r="M246" s="15" t="s">
        <v>33</v>
      </c>
      <c r="N246" s="17" t="s">
        <v>87</v>
      </c>
      <c r="O246" s="15"/>
      <c r="P246" s="15"/>
      <c r="Q246" s="21" t="s">
        <v>539</v>
      </c>
      <c r="R246" s="21"/>
      <c r="S246" s="21"/>
      <c r="T246" s="28"/>
      <c r="U246" s="24" t="s">
        <v>689</v>
      </c>
    </row>
    <row r="247" s="25" customFormat="true" ht="41.4" hidden="false" customHeight="false" outlineLevel="0" collapsed="false">
      <c r="A247" s="36" t="s">
        <v>690</v>
      </c>
      <c r="B247" s="26" t="s">
        <v>691</v>
      </c>
      <c r="C247" s="14" t="s">
        <v>538</v>
      </c>
      <c r="D247" s="15" t="n">
        <v>4</v>
      </c>
      <c r="E247" s="27" t="n">
        <f aca="false">F247/2</f>
        <v>50</v>
      </c>
      <c r="F247" s="16" t="n">
        <v>100</v>
      </c>
      <c r="G247" s="15" t="s">
        <v>24</v>
      </c>
      <c r="H247" s="17" t="s">
        <v>25</v>
      </c>
      <c r="I247" s="18" t="s">
        <v>26</v>
      </c>
      <c r="J247" s="15" t="n">
        <v>2009</v>
      </c>
      <c r="K247" s="19" t="s">
        <v>27</v>
      </c>
      <c r="L247" s="15" t="s">
        <v>28</v>
      </c>
      <c r="M247" s="15" t="s">
        <v>33</v>
      </c>
      <c r="N247" s="17" t="s">
        <v>45</v>
      </c>
      <c r="O247" s="15" t="s">
        <v>54</v>
      </c>
      <c r="P247" s="15"/>
      <c r="Q247" s="21" t="s">
        <v>539</v>
      </c>
      <c r="R247" s="21"/>
      <c r="S247" s="21"/>
      <c r="T247" s="28"/>
      <c r="U247" s="24" t="s">
        <v>692</v>
      </c>
    </row>
    <row r="248" s="25" customFormat="true" ht="41.4" hidden="false" customHeight="false" outlineLevel="0" collapsed="false">
      <c r="A248" s="36" t="s">
        <v>693</v>
      </c>
      <c r="B248" s="26" t="s">
        <v>694</v>
      </c>
      <c r="C248" s="14" t="s">
        <v>538</v>
      </c>
      <c r="D248" s="15" t="n">
        <v>4</v>
      </c>
      <c r="E248" s="27" t="n">
        <f aca="false">F248/2</f>
        <v>50</v>
      </c>
      <c r="F248" s="16" t="n">
        <v>100</v>
      </c>
      <c r="G248" s="15" t="s">
        <v>24</v>
      </c>
      <c r="H248" s="17" t="s">
        <v>25</v>
      </c>
      <c r="I248" s="18" t="s">
        <v>26</v>
      </c>
      <c r="J248" s="15" t="n">
        <v>2009</v>
      </c>
      <c r="K248" s="19" t="s">
        <v>27</v>
      </c>
      <c r="L248" s="15" t="s">
        <v>28</v>
      </c>
      <c r="M248" s="15" t="s">
        <v>33</v>
      </c>
      <c r="N248" s="17" t="s">
        <v>600</v>
      </c>
      <c r="O248" s="15" t="s">
        <v>54</v>
      </c>
      <c r="P248" s="15"/>
      <c r="Q248" s="21" t="s">
        <v>539</v>
      </c>
      <c r="R248" s="21"/>
      <c r="S248" s="21"/>
      <c r="T248" s="28"/>
      <c r="U248" s="24" t="s">
        <v>695</v>
      </c>
    </row>
    <row r="249" s="25" customFormat="true" ht="41.4" hidden="false" customHeight="false" outlineLevel="0" collapsed="false">
      <c r="A249" s="36" t="s">
        <v>696</v>
      </c>
      <c r="B249" s="26" t="s">
        <v>697</v>
      </c>
      <c r="C249" s="14" t="s">
        <v>538</v>
      </c>
      <c r="D249" s="15" t="n">
        <v>4</v>
      </c>
      <c r="E249" s="27" t="n">
        <f aca="false">F249/2</f>
        <v>50</v>
      </c>
      <c r="F249" s="16" t="n">
        <v>100</v>
      </c>
      <c r="G249" s="15" t="s">
        <v>24</v>
      </c>
      <c r="H249" s="17" t="s">
        <v>25</v>
      </c>
      <c r="I249" s="18" t="s">
        <v>26</v>
      </c>
      <c r="J249" s="15" t="n">
        <v>2009</v>
      </c>
      <c r="K249" s="19" t="s">
        <v>27</v>
      </c>
      <c r="L249" s="15" t="s">
        <v>28</v>
      </c>
      <c r="M249" s="15" t="s">
        <v>33</v>
      </c>
      <c r="N249" s="17"/>
      <c r="O249" s="15"/>
      <c r="P249" s="15"/>
      <c r="Q249" s="21" t="s">
        <v>539</v>
      </c>
      <c r="R249" s="21"/>
      <c r="S249" s="21"/>
      <c r="T249" s="28"/>
      <c r="U249" s="24"/>
    </row>
    <row r="250" s="25" customFormat="true" ht="41.4" hidden="false" customHeight="false" outlineLevel="0" collapsed="false">
      <c r="A250" s="36" t="s">
        <v>698</v>
      </c>
      <c r="B250" s="26" t="s">
        <v>699</v>
      </c>
      <c r="C250" s="14" t="s">
        <v>538</v>
      </c>
      <c r="D250" s="15" t="n">
        <v>4</v>
      </c>
      <c r="E250" s="27" t="n">
        <f aca="false">F250/2</f>
        <v>50</v>
      </c>
      <c r="F250" s="16" t="n">
        <v>100</v>
      </c>
      <c r="G250" s="15" t="s">
        <v>24</v>
      </c>
      <c r="H250" s="17" t="s">
        <v>25</v>
      </c>
      <c r="I250" s="18" t="s">
        <v>26</v>
      </c>
      <c r="J250" s="15" t="n">
        <v>2009</v>
      </c>
      <c r="K250" s="19" t="s">
        <v>27</v>
      </c>
      <c r="L250" s="15" t="s">
        <v>28</v>
      </c>
      <c r="M250" s="15" t="s">
        <v>33</v>
      </c>
      <c r="N250" s="17"/>
      <c r="O250" s="15" t="s">
        <v>54</v>
      </c>
      <c r="P250" s="15"/>
      <c r="Q250" s="21" t="s">
        <v>539</v>
      </c>
      <c r="R250" s="21"/>
      <c r="S250" s="21"/>
      <c r="T250" s="28"/>
      <c r="U250" s="24"/>
    </row>
    <row r="251" s="25" customFormat="true" ht="41.4" hidden="false" customHeight="false" outlineLevel="0" collapsed="false">
      <c r="A251" s="36" t="s">
        <v>700</v>
      </c>
      <c r="B251" s="26" t="s">
        <v>701</v>
      </c>
      <c r="C251" s="14" t="s">
        <v>538</v>
      </c>
      <c r="D251" s="15" t="n">
        <v>4</v>
      </c>
      <c r="E251" s="27" t="n">
        <f aca="false">F251/2</f>
        <v>50</v>
      </c>
      <c r="F251" s="16" t="n">
        <v>100</v>
      </c>
      <c r="G251" s="15" t="s">
        <v>24</v>
      </c>
      <c r="H251" s="17" t="s">
        <v>25</v>
      </c>
      <c r="I251" s="18" t="s">
        <v>26</v>
      </c>
      <c r="J251" s="15" t="n">
        <v>2010</v>
      </c>
      <c r="K251" s="19" t="s">
        <v>27</v>
      </c>
      <c r="L251" s="15" t="s">
        <v>28</v>
      </c>
      <c r="M251" s="15" t="s">
        <v>33</v>
      </c>
      <c r="N251" s="17" t="s">
        <v>184</v>
      </c>
      <c r="O251" s="15"/>
      <c r="P251" s="15"/>
      <c r="Q251" s="21" t="s">
        <v>539</v>
      </c>
      <c r="R251" s="21"/>
      <c r="S251" s="21"/>
      <c r="T251" s="28"/>
      <c r="U251" s="24"/>
    </row>
    <row r="252" s="25" customFormat="true" ht="41.4" hidden="false" customHeight="false" outlineLevel="0" collapsed="false">
      <c r="A252" s="36" t="s">
        <v>702</v>
      </c>
      <c r="B252" s="26" t="s">
        <v>703</v>
      </c>
      <c r="C252" s="14" t="s">
        <v>538</v>
      </c>
      <c r="D252" s="15" t="n">
        <v>4</v>
      </c>
      <c r="E252" s="27" t="n">
        <f aca="false">F252/2</f>
        <v>50</v>
      </c>
      <c r="F252" s="16" t="n">
        <v>100</v>
      </c>
      <c r="G252" s="15" t="s">
        <v>24</v>
      </c>
      <c r="H252" s="17" t="s">
        <v>25</v>
      </c>
      <c r="I252" s="18" t="s">
        <v>26</v>
      </c>
      <c r="J252" s="15" t="n">
        <v>2010</v>
      </c>
      <c r="K252" s="19" t="s">
        <v>27</v>
      </c>
      <c r="L252" s="15" t="s">
        <v>28</v>
      </c>
      <c r="M252" s="15" t="s">
        <v>33</v>
      </c>
      <c r="N252" s="17" t="s">
        <v>184</v>
      </c>
      <c r="O252" s="15"/>
      <c r="P252" s="15"/>
      <c r="Q252" s="21" t="s">
        <v>539</v>
      </c>
      <c r="R252" s="21"/>
      <c r="S252" s="21"/>
      <c r="T252" s="28"/>
      <c r="U252" s="24"/>
    </row>
    <row r="253" s="25" customFormat="true" ht="41.4" hidden="false" customHeight="false" outlineLevel="0" collapsed="false">
      <c r="A253" s="36" t="s">
        <v>704</v>
      </c>
      <c r="B253" s="26" t="s">
        <v>705</v>
      </c>
      <c r="C253" s="14" t="s">
        <v>538</v>
      </c>
      <c r="D253" s="15" t="n">
        <v>6</v>
      </c>
      <c r="E253" s="27" t="n">
        <f aca="false">F253/2</f>
        <v>50</v>
      </c>
      <c r="F253" s="16" t="n">
        <v>100</v>
      </c>
      <c r="G253" s="15" t="s">
        <v>24</v>
      </c>
      <c r="H253" s="17" t="s">
        <v>25</v>
      </c>
      <c r="I253" s="18" t="s">
        <v>26</v>
      </c>
      <c r="J253" s="15" t="n">
        <v>2009</v>
      </c>
      <c r="K253" s="19" t="s">
        <v>27</v>
      </c>
      <c r="L253" s="15" t="s">
        <v>28</v>
      </c>
      <c r="M253" s="15" t="s">
        <v>33</v>
      </c>
      <c r="N253" s="17" t="s">
        <v>153</v>
      </c>
      <c r="O253" s="15"/>
      <c r="P253" s="15"/>
      <c r="Q253" s="21" t="s">
        <v>539</v>
      </c>
      <c r="R253" s="21"/>
      <c r="S253" s="21"/>
      <c r="T253" s="28"/>
      <c r="U253" s="24" t="s">
        <v>706</v>
      </c>
    </row>
    <row r="254" s="25" customFormat="true" ht="41.4" hidden="false" customHeight="false" outlineLevel="0" collapsed="false">
      <c r="A254" s="36" t="s">
        <v>707</v>
      </c>
      <c r="B254" s="26" t="s">
        <v>708</v>
      </c>
      <c r="C254" s="14" t="s">
        <v>538</v>
      </c>
      <c r="D254" s="15" t="n">
        <v>6</v>
      </c>
      <c r="E254" s="27" t="n">
        <f aca="false">F254/2</f>
        <v>50</v>
      </c>
      <c r="F254" s="16" t="n">
        <v>100</v>
      </c>
      <c r="G254" s="15" t="s">
        <v>24</v>
      </c>
      <c r="H254" s="17" t="s">
        <v>25</v>
      </c>
      <c r="I254" s="18" t="s">
        <v>26</v>
      </c>
      <c r="J254" s="15" t="n">
        <v>2009</v>
      </c>
      <c r="K254" s="19" t="s">
        <v>27</v>
      </c>
      <c r="L254" s="15" t="s">
        <v>28</v>
      </c>
      <c r="M254" s="15" t="s">
        <v>33</v>
      </c>
      <c r="N254" s="17" t="s">
        <v>543</v>
      </c>
      <c r="O254" s="15"/>
      <c r="P254" s="15"/>
      <c r="Q254" s="21" t="s">
        <v>539</v>
      </c>
      <c r="R254" s="21"/>
      <c r="S254" s="21"/>
      <c r="T254" s="28"/>
      <c r="U254" s="24" t="s">
        <v>709</v>
      </c>
    </row>
    <row r="255" s="25" customFormat="true" ht="41.4" hidden="false" customHeight="false" outlineLevel="0" collapsed="false">
      <c r="A255" s="36" t="s">
        <v>710</v>
      </c>
      <c r="B255" s="26" t="s">
        <v>711</v>
      </c>
      <c r="C255" s="14" t="s">
        <v>538</v>
      </c>
      <c r="D255" s="15" t="n">
        <v>6</v>
      </c>
      <c r="E255" s="27" t="n">
        <f aca="false">F255/2</f>
        <v>50</v>
      </c>
      <c r="F255" s="16" t="n">
        <v>100</v>
      </c>
      <c r="G255" s="15" t="s">
        <v>24</v>
      </c>
      <c r="H255" s="17" t="s">
        <v>25</v>
      </c>
      <c r="I255" s="18" t="s">
        <v>26</v>
      </c>
      <c r="J255" s="15" t="n">
        <v>2009</v>
      </c>
      <c r="K255" s="19" t="s">
        <v>27</v>
      </c>
      <c r="L255" s="15" t="s">
        <v>28</v>
      </c>
      <c r="M255" s="15" t="s">
        <v>33</v>
      </c>
      <c r="N255" s="17" t="s">
        <v>712</v>
      </c>
      <c r="O255" s="15"/>
      <c r="P255" s="15"/>
      <c r="Q255" s="21" t="s">
        <v>539</v>
      </c>
      <c r="R255" s="21"/>
      <c r="S255" s="21"/>
      <c r="T255" s="28"/>
      <c r="U255" s="24" t="s">
        <v>713</v>
      </c>
    </row>
    <row r="256" s="25" customFormat="true" ht="41.4" hidden="false" customHeight="false" outlineLevel="0" collapsed="false">
      <c r="A256" s="36" t="s">
        <v>714</v>
      </c>
      <c r="B256" s="26" t="s">
        <v>715</v>
      </c>
      <c r="C256" s="14" t="s">
        <v>538</v>
      </c>
      <c r="D256" s="15" t="n">
        <v>6</v>
      </c>
      <c r="E256" s="27" t="n">
        <f aca="false">F256/2</f>
        <v>50</v>
      </c>
      <c r="F256" s="16" t="n">
        <v>100</v>
      </c>
      <c r="G256" s="15" t="s">
        <v>24</v>
      </c>
      <c r="H256" s="17" t="s">
        <v>25</v>
      </c>
      <c r="I256" s="18" t="s">
        <v>26</v>
      </c>
      <c r="J256" s="15" t="n">
        <v>2009</v>
      </c>
      <c r="K256" s="19" t="s">
        <v>27</v>
      </c>
      <c r="L256" s="15" t="s">
        <v>28</v>
      </c>
      <c r="M256" s="15" t="s">
        <v>33</v>
      </c>
      <c r="N256" s="17" t="s">
        <v>53</v>
      </c>
      <c r="O256" s="15" t="s">
        <v>54</v>
      </c>
      <c r="P256" s="15"/>
      <c r="Q256" s="21" t="s">
        <v>539</v>
      </c>
      <c r="R256" s="21"/>
      <c r="S256" s="21"/>
      <c r="T256" s="28"/>
      <c r="U256" s="24" t="s">
        <v>716</v>
      </c>
    </row>
    <row r="257" s="25" customFormat="true" ht="41.4" hidden="false" customHeight="false" outlineLevel="0" collapsed="false">
      <c r="A257" s="36" t="s">
        <v>717</v>
      </c>
      <c r="B257" s="26" t="s">
        <v>718</v>
      </c>
      <c r="C257" s="14" t="s">
        <v>538</v>
      </c>
      <c r="D257" s="15" t="n">
        <v>6</v>
      </c>
      <c r="E257" s="27" t="n">
        <f aca="false">F257/2</f>
        <v>50</v>
      </c>
      <c r="F257" s="16" t="n">
        <v>100</v>
      </c>
      <c r="G257" s="15" t="s">
        <v>24</v>
      </c>
      <c r="H257" s="17" t="s">
        <v>25</v>
      </c>
      <c r="I257" s="18" t="s">
        <v>26</v>
      </c>
      <c r="J257" s="15" t="n">
        <v>2009</v>
      </c>
      <c r="K257" s="19" t="s">
        <v>27</v>
      </c>
      <c r="L257" s="15" t="s">
        <v>28</v>
      </c>
      <c r="M257" s="15" t="s">
        <v>33</v>
      </c>
      <c r="N257" s="17" t="s">
        <v>719</v>
      </c>
      <c r="O257" s="15" t="s">
        <v>54</v>
      </c>
      <c r="P257" s="15"/>
      <c r="Q257" s="21" t="s">
        <v>539</v>
      </c>
      <c r="R257" s="21"/>
      <c r="S257" s="21"/>
      <c r="T257" s="28"/>
      <c r="U257" s="24" t="s">
        <v>720</v>
      </c>
    </row>
    <row r="258" s="25" customFormat="true" ht="41.4" hidden="false" customHeight="false" outlineLevel="0" collapsed="false">
      <c r="A258" s="36" t="s">
        <v>721</v>
      </c>
      <c r="B258" s="26" t="s">
        <v>722</v>
      </c>
      <c r="C258" s="14" t="s">
        <v>538</v>
      </c>
      <c r="D258" s="15" t="n">
        <v>6</v>
      </c>
      <c r="E258" s="27" t="n">
        <f aca="false">F258/2</f>
        <v>50</v>
      </c>
      <c r="F258" s="16" t="n">
        <v>100</v>
      </c>
      <c r="G258" s="15" t="s">
        <v>24</v>
      </c>
      <c r="H258" s="17" t="s">
        <v>25</v>
      </c>
      <c r="I258" s="18" t="s">
        <v>26</v>
      </c>
      <c r="J258" s="15" t="n">
        <v>2009</v>
      </c>
      <c r="K258" s="19" t="s">
        <v>27</v>
      </c>
      <c r="L258" s="15" t="s">
        <v>28</v>
      </c>
      <c r="M258" s="15" t="s">
        <v>33</v>
      </c>
      <c r="N258" s="17" t="s">
        <v>175</v>
      </c>
      <c r="O258" s="15"/>
      <c r="P258" s="15"/>
      <c r="Q258" s="21" t="s">
        <v>539</v>
      </c>
      <c r="R258" s="21"/>
      <c r="S258" s="21"/>
      <c r="T258" s="28"/>
      <c r="U258" s="24" t="s">
        <v>723</v>
      </c>
    </row>
    <row r="259" s="25" customFormat="true" ht="41.4" hidden="false" customHeight="false" outlineLevel="0" collapsed="false">
      <c r="A259" s="36" t="s">
        <v>724</v>
      </c>
      <c r="B259" s="26" t="s">
        <v>725</v>
      </c>
      <c r="C259" s="14" t="s">
        <v>538</v>
      </c>
      <c r="D259" s="15" t="n">
        <v>6</v>
      </c>
      <c r="E259" s="27" t="n">
        <f aca="false">F259/2</f>
        <v>50</v>
      </c>
      <c r="F259" s="16" t="n">
        <v>100</v>
      </c>
      <c r="G259" s="15" t="s">
        <v>24</v>
      </c>
      <c r="H259" s="17" t="s">
        <v>25</v>
      </c>
      <c r="I259" s="18" t="s">
        <v>26</v>
      </c>
      <c r="J259" s="15" t="n">
        <v>2009</v>
      </c>
      <c r="K259" s="19" t="s">
        <v>27</v>
      </c>
      <c r="L259" s="15" t="s">
        <v>28</v>
      </c>
      <c r="M259" s="15" t="s">
        <v>33</v>
      </c>
      <c r="N259" s="17" t="s">
        <v>160</v>
      </c>
      <c r="O259" s="15"/>
      <c r="P259" s="15"/>
      <c r="Q259" s="21" t="s">
        <v>539</v>
      </c>
      <c r="R259" s="21"/>
      <c r="S259" s="21"/>
      <c r="T259" s="28"/>
      <c r="U259" s="24" t="s">
        <v>726</v>
      </c>
    </row>
    <row r="260" s="25" customFormat="true" ht="41.4" hidden="false" customHeight="false" outlineLevel="0" collapsed="false">
      <c r="A260" s="36" t="s">
        <v>727</v>
      </c>
      <c r="B260" s="26" t="s">
        <v>728</v>
      </c>
      <c r="C260" s="14" t="s">
        <v>729</v>
      </c>
      <c r="D260" s="15" t="n">
        <v>4</v>
      </c>
      <c r="E260" s="27" t="n">
        <f aca="false">F260/2</f>
        <v>800</v>
      </c>
      <c r="F260" s="16" t="n">
        <v>1600</v>
      </c>
      <c r="G260" s="15" t="s">
        <v>36</v>
      </c>
      <c r="H260" s="17" t="s">
        <v>25</v>
      </c>
      <c r="I260" s="18" t="s">
        <v>26</v>
      </c>
      <c r="J260" s="15" t="n">
        <v>2020</v>
      </c>
      <c r="K260" s="19" t="s">
        <v>27</v>
      </c>
      <c r="L260" s="15" t="s">
        <v>28</v>
      </c>
      <c r="M260" s="15" t="s">
        <v>33</v>
      </c>
      <c r="N260" s="20"/>
      <c r="O260" s="15"/>
      <c r="P260" s="15"/>
      <c r="Q260" s="21"/>
      <c r="R260" s="21"/>
      <c r="S260" s="21"/>
      <c r="T260" s="28"/>
      <c r="U260" s="34"/>
    </row>
    <row r="261" s="25" customFormat="true" ht="41.4" hidden="false" customHeight="false" outlineLevel="0" collapsed="false">
      <c r="A261" s="36" t="s">
        <v>730</v>
      </c>
      <c r="B261" s="26" t="s">
        <v>731</v>
      </c>
      <c r="C261" s="14" t="s">
        <v>157</v>
      </c>
      <c r="D261" s="15" t="n">
        <v>4</v>
      </c>
      <c r="E261" s="27" t="n">
        <f aca="false">F261/2</f>
        <v>650</v>
      </c>
      <c r="F261" s="16" t="n">
        <v>1300</v>
      </c>
      <c r="G261" s="15" t="s">
        <v>36</v>
      </c>
      <c r="H261" s="17" t="s">
        <v>25</v>
      </c>
      <c r="I261" s="18" t="s">
        <v>26</v>
      </c>
      <c r="J261" s="15" t="n">
        <v>2017</v>
      </c>
      <c r="K261" s="19" t="s">
        <v>27</v>
      </c>
      <c r="L261" s="15" t="s">
        <v>28</v>
      </c>
      <c r="M261" s="15" t="s">
        <v>33</v>
      </c>
      <c r="N261" s="17"/>
      <c r="O261" s="15"/>
      <c r="P261" s="15"/>
      <c r="Q261" s="21"/>
      <c r="R261" s="21"/>
      <c r="S261" s="21"/>
      <c r="T261" s="28"/>
      <c r="U261" s="24"/>
    </row>
    <row r="262" s="25" customFormat="true" ht="41.4" hidden="false" customHeight="false" outlineLevel="0" collapsed="false">
      <c r="A262" s="36" t="s">
        <v>732</v>
      </c>
      <c r="B262" s="26" t="s">
        <v>733</v>
      </c>
      <c r="C262" s="14" t="s">
        <v>734</v>
      </c>
      <c r="D262" s="15" t="n">
        <v>12</v>
      </c>
      <c r="E262" s="27" t="n">
        <f aca="false">F262/2</f>
        <v>4200</v>
      </c>
      <c r="F262" s="16" t="n">
        <v>8400</v>
      </c>
      <c r="G262" s="15" t="s">
        <v>24</v>
      </c>
      <c r="H262" s="17" t="s">
        <v>25</v>
      </c>
      <c r="I262" s="18" t="s">
        <v>26</v>
      </c>
      <c r="J262" s="15" t="n">
        <v>2016</v>
      </c>
      <c r="K262" s="19" t="s">
        <v>27</v>
      </c>
      <c r="L262" s="15" t="s">
        <v>28</v>
      </c>
      <c r="M262" s="15" t="s">
        <v>33</v>
      </c>
      <c r="N262" s="17" t="s">
        <v>375</v>
      </c>
      <c r="O262" s="15"/>
      <c r="P262" s="15"/>
      <c r="Q262" s="21" t="s">
        <v>78</v>
      </c>
      <c r="R262" s="21"/>
      <c r="S262" s="21"/>
      <c r="T262" s="31" t="n">
        <v>45904</v>
      </c>
      <c r="U262" s="24"/>
    </row>
    <row r="263" s="25" customFormat="true" ht="41.4" hidden="false" customHeight="false" outlineLevel="0" collapsed="false">
      <c r="A263" s="59" t="s">
        <v>735</v>
      </c>
      <c r="B263" s="26"/>
      <c r="C263" s="14" t="s">
        <v>736</v>
      </c>
      <c r="D263" s="15" t="n">
        <v>6</v>
      </c>
      <c r="E263" s="27" t="n">
        <f aca="false">F263/2</f>
        <v>50</v>
      </c>
      <c r="F263" s="16" t="n">
        <v>100</v>
      </c>
      <c r="G263" s="15" t="s">
        <v>36</v>
      </c>
      <c r="H263" s="17" t="s">
        <v>25</v>
      </c>
      <c r="I263" s="18" t="s">
        <v>26</v>
      </c>
      <c r="J263" s="15" t="n">
        <v>2023</v>
      </c>
      <c r="K263" s="19" t="s">
        <v>27</v>
      </c>
      <c r="L263" s="15" t="s">
        <v>28</v>
      </c>
      <c r="M263" s="15" t="s">
        <v>33</v>
      </c>
      <c r="N263" s="17"/>
      <c r="O263" s="15"/>
      <c r="P263" s="15"/>
      <c r="Q263" s="21"/>
      <c r="R263" s="21"/>
      <c r="S263" s="21"/>
      <c r="T263" s="28"/>
      <c r="U263" s="24"/>
    </row>
    <row r="264" s="25" customFormat="true" ht="41.4" hidden="false" customHeight="false" outlineLevel="0" collapsed="false">
      <c r="A264" s="36" t="s">
        <v>737</v>
      </c>
      <c r="B264" s="26" t="s">
        <v>738</v>
      </c>
      <c r="C264" s="14" t="s">
        <v>739</v>
      </c>
      <c r="D264" s="15" t="n">
        <v>6</v>
      </c>
      <c r="E264" s="27" t="n">
        <f aca="false">F264/2</f>
        <v>11400</v>
      </c>
      <c r="F264" s="16" t="n">
        <f aca="false">6*3800</f>
        <v>22800</v>
      </c>
      <c r="G264" s="15" t="s">
        <v>36</v>
      </c>
      <c r="H264" s="17" t="s">
        <v>25</v>
      </c>
      <c r="I264" s="18" t="s">
        <v>26</v>
      </c>
      <c r="J264" s="15" t="n">
        <v>2020</v>
      </c>
      <c r="K264" s="19" t="s">
        <v>27</v>
      </c>
      <c r="L264" s="15" t="s">
        <v>28</v>
      </c>
      <c r="M264" s="15" t="s">
        <v>33</v>
      </c>
      <c r="N264" s="20" t="s">
        <v>397</v>
      </c>
      <c r="O264" s="15"/>
      <c r="P264" s="15"/>
      <c r="Q264" s="21"/>
      <c r="R264" s="21"/>
      <c r="S264" s="21"/>
      <c r="T264" s="31" t="n">
        <v>45862</v>
      </c>
      <c r="U264" s="34"/>
    </row>
    <row r="265" s="25" customFormat="true" ht="41.4" hidden="false" customHeight="false" outlineLevel="0" collapsed="false">
      <c r="A265" s="36" t="s">
        <v>740</v>
      </c>
      <c r="B265" s="26"/>
      <c r="C265" s="14" t="s">
        <v>741</v>
      </c>
      <c r="D265" s="15" t="n">
        <v>2</v>
      </c>
      <c r="E265" s="16" t="n">
        <f aca="false">F265/2</f>
        <v>50</v>
      </c>
      <c r="F265" s="16" t="n">
        <v>100</v>
      </c>
      <c r="G265" s="15" t="s">
        <v>36</v>
      </c>
      <c r="H265" s="17" t="s">
        <v>25</v>
      </c>
      <c r="I265" s="18" t="s">
        <v>26</v>
      </c>
      <c r="J265" s="15" t="n">
        <v>2025</v>
      </c>
      <c r="K265" s="19" t="s">
        <v>27</v>
      </c>
      <c r="L265" s="15" t="s">
        <v>28</v>
      </c>
      <c r="M265" s="15" t="s">
        <v>33</v>
      </c>
      <c r="N265" s="17"/>
      <c r="O265" s="15"/>
      <c r="P265" s="15"/>
      <c r="Q265" s="21"/>
      <c r="R265" s="21"/>
      <c r="S265" s="21"/>
      <c r="T265" s="28"/>
      <c r="U265" s="24"/>
    </row>
    <row r="266" s="25" customFormat="true" ht="41.4" hidden="false" customHeight="false" outlineLevel="0" collapsed="false">
      <c r="A266" s="36" t="s">
        <v>742</v>
      </c>
      <c r="B266" s="26" t="s">
        <v>743</v>
      </c>
      <c r="C266" s="14" t="s">
        <v>122</v>
      </c>
      <c r="D266" s="15" t="n">
        <v>12</v>
      </c>
      <c r="E266" s="27" t="n">
        <v>23628</v>
      </c>
      <c r="F266" s="16" t="n">
        <v>39204</v>
      </c>
      <c r="G266" s="15" t="s">
        <v>36</v>
      </c>
      <c r="H266" s="17" t="s">
        <v>25</v>
      </c>
      <c r="I266" s="18" t="s">
        <v>26</v>
      </c>
      <c r="J266" s="15" t="n">
        <v>2017</v>
      </c>
      <c r="K266" s="19" t="s">
        <v>27</v>
      </c>
      <c r="L266" s="15" t="s">
        <v>28</v>
      </c>
      <c r="M266" s="15" t="s">
        <v>33</v>
      </c>
      <c r="N266" s="17" t="s">
        <v>96</v>
      </c>
      <c r="O266" s="15"/>
      <c r="P266" s="15"/>
      <c r="Q266" s="21"/>
      <c r="R266" s="21"/>
      <c r="S266" s="21"/>
      <c r="T266" s="28"/>
      <c r="U266" s="24"/>
    </row>
    <row r="267" s="25" customFormat="true" ht="41.4" hidden="false" customHeight="false" outlineLevel="0" collapsed="false">
      <c r="A267" s="36" t="s">
        <v>744</v>
      </c>
      <c r="B267" s="26"/>
      <c r="C267" s="14" t="s">
        <v>745</v>
      </c>
      <c r="D267" s="15" t="n">
        <v>4</v>
      </c>
      <c r="E267" s="27" t="n">
        <f aca="false">F267/2</f>
        <v>50</v>
      </c>
      <c r="F267" s="16" t="n">
        <v>100</v>
      </c>
      <c r="G267" s="15" t="s">
        <v>36</v>
      </c>
      <c r="H267" s="17" t="s">
        <v>25</v>
      </c>
      <c r="I267" s="18" t="s">
        <v>26</v>
      </c>
      <c r="J267" s="15" t="n">
        <v>2023</v>
      </c>
      <c r="K267" s="19" t="s">
        <v>27</v>
      </c>
      <c r="L267" s="15" t="s">
        <v>28</v>
      </c>
      <c r="M267" s="15" t="s">
        <v>33</v>
      </c>
      <c r="N267" s="20" t="s">
        <v>257</v>
      </c>
      <c r="O267" s="15" t="s">
        <v>46</v>
      </c>
      <c r="P267" s="15"/>
      <c r="Q267" s="21"/>
      <c r="R267" s="21"/>
      <c r="S267" s="21"/>
      <c r="T267" s="28"/>
      <c r="U267" s="34"/>
    </row>
    <row r="268" s="25" customFormat="true" ht="41.4" hidden="false" customHeight="false" outlineLevel="0" collapsed="false">
      <c r="A268" s="36" t="s">
        <v>746</v>
      </c>
      <c r="B268" s="26" t="s">
        <v>747</v>
      </c>
      <c r="C268" s="14" t="s">
        <v>152</v>
      </c>
      <c r="D268" s="15" t="n">
        <v>6</v>
      </c>
      <c r="E268" s="27" t="n">
        <f aca="false">F268/2</f>
        <v>50</v>
      </c>
      <c r="F268" s="16" t="n">
        <v>100</v>
      </c>
      <c r="G268" s="15" t="s">
        <v>36</v>
      </c>
      <c r="H268" s="17" t="s">
        <v>25</v>
      </c>
      <c r="I268" s="18" t="s">
        <v>26</v>
      </c>
      <c r="J268" s="15" t="n">
        <v>2023</v>
      </c>
      <c r="K268" s="19" t="s">
        <v>27</v>
      </c>
      <c r="L268" s="15" t="s">
        <v>28</v>
      </c>
      <c r="M268" s="15" t="s">
        <v>33</v>
      </c>
      <c r="N268" s="17" t="s">
        <v>153</v>
      </c>
      <c r="O268" s="15" t="s">
        <v>46</v>
      </c>
      <c r="P268" s="15"/>
      <c r="Q268" s="21"/>
      <c r="R268" s="21"/>
      <c r="S268" s="21"/>
      <c r="T268" s="28"/>
      <c r="U268" s="24"/>
    </row>
    <row r="269" s="25" customFormat="true" ht="68.4" hidden="false" customHeight="false" outlineLevel="0" collapsed="false">
      <c r="A269" s="36" t="s">
        <v>748</v>
      </c>
      <c r="B269" s="26" t="s">
        <v>749</v>
      </c>
      <c r="C269" s="14" t="s">
        <v>86</v>
      </c>
      <c r="D269" s="15" t="n">
        <v>4</v>
      </c>
      <c r="E269" s="27" t="n">
        <f aca="false">F269/2</f>
        <v>1716</v>
      </c>
      <c r="F269" s="32" t="n">
        <v>3432</v>
      </c>
      <c r="G269" s="15" t="s">
        <v>24</v>
      </c>
      <c r="H269" s="17" t="s">
        <v>25</v>
      </c>
      <c r="I269" s="18" t="s">
        <v>26</v>
      </c>
      <c r="J269" s="15" t="n">
        <v>2014</v>
      </c>
      <c r="K269" s="19" t="s">
        <v>59</v>
      </c>
      <c r="L269" s="15" t="s">
        <v>28</v>
      </c>
      <c r="M269" s="15" t="s">
        <v>33</v>
      </c>
      <c r="N269" s="17" t="s">
        <v>53</v>
      </c>
      <c r="O269" s="15" t="s">
        <v>203</v>
      </c>
      <c r="P269" s="15"/>
      <c r="Q269" s="21" t="s">
        <v>55</v>
      </c>
      <c r="R269" s="21"/>
      <c r="S269" s="21"/>
      <c r="T269" s="31" t="n">
        <v>45882</v>
      </c>
      <c r="U269" s="24" t="s">
        <v>750</v>
      </c>
    </row>
    <row r="270" s="25" customFormat="true" ht="41.4" hidden="false" customHeight="false" outlineLevel="0" collapsed="false">
      <c r="A270" s="36" t="s">
        <v>751</v>
      </c>
      <c r="B270" s="26" t="s">
        <v>752</v>
      </c>
      <c r="C270" s="14" t="s">
        <v>753</v>
      </c>
      <c r="D270" s="15" t="n">
        <v>4</v>
      </c>
      <c r="E270" s="27" t="n">
        <f aca="false">F270/2</f>
        <v>50</v>
      </c>
      <c r="F270" s="16" t="n">
        <v>100</v>
      </c>
      <c r="G270" s="15" t="s">
        <v>36</v>
      </c>
      <c r="H270" s="17" t="s">
        <v>25</v>
      </c>
      <c r="I270" s="18" t="s">
        <v>26</v>
      </c>
      <c r="J270" s="15" t="n">
        <v>2022</v>
      </c>
      <c r="K270" s="19" t="s">
        <v>754</v>
      </c>
      <c r="L270" s="15" t="s">
        <v>28</v>
      </c>
      <c r="M270" s="15" t="s">
        <v>33</v>
      </c>
      <c r="N270" s="20" t="s">
        <v>83</v>
      </c>
      <c r="O270" s="15"/>
      <c r="P270" s="15"/>
      <c r="Q270" s="21"/>
      <c r="R270" s="21"/>
      <c r="S270" s="21"/>
      <c r="T270" s="28"/>
      <c r="U270" s="34"/>
    </row>
    <row r="271" s="25" customFormat="true" ht="41.4" hidden="false" customHeight="false" outlineLevel="0" collapsed="false">
      <c r="A271" s="36" t="s">
        <v>755</v>
      </c>
      <c r="B271" s="26" t="s">
        <v>756</v>
      </c>
      <c r="C271" s="14" t="s">
        <v>122</v>
      </c>
      <c r="D271" s="15" t="n">
        <v>12</v>
      </c>
      <c r="E271" s="27" t="n">
        <v>23628</v>
      </c>
      <c r="F271" s="16" t="n">
        <v>39204</v>
      </c>
      <c r="G271" s="15" t="s">
        <v>36</v>
      </c>
      <c r="H271" s="17" t="s">
        <v>25</v>
      </c>
      <c r="I271" s="18" t="s">
        <v>26</v>
      </c>
      <c r="J271" s="15" t="n">
        <v>2017</v>
      </c>
      <c r="K271" s="19" t="s">
        <v>27</v>
      </c>
      <c r="L271" s="15" t="s">
        <v>28</v>
      </c>
      <c r="M271" s="15" t="s">
        <v>33</v>
      </c>
      <c r="N271" s="17" t="s">
        <v>40</v>
      </c>
      <c r="O271" s="15"/>
      <c r="P271" s="15"/>
      <c r="Q271" s="21"/>
      <c r="R271" s="21"/>
      <c r="S271" s="21"/>
      <c r="T271" s="28"/>
      <c r="U271" s="24"/>
    </row>
    <row r="272" s="25" customFormat="true" ht="41.4" hidden="false" customHeight="false" outlineLevel="0" collapsed="false">
      <c r="A272" s="36" t="s">
        <v>757</v>
      </c>
      <c r="B272" s="26" t="s">
        <v>758</v>
      </c>
      <c r="C272" s="14" t="s">
        <v>148</v>
      </c>
      <c r="D272" s="15" t="n">
        <v>6</v>
      </c>
      <c r="E272" s="27" t="n">
        <f aca="false">F272/2</f>
        <v>2919</v>
      </c>
      <c r="F272" s="35" t="n">
        <f aca="false">FLOOR(4865*1.2,1)</f>
        <v>5838</v>
      </c>
      <c r="G272" s="15" t="s">
        <v>36</v>
      </c>
      <c r="H272" s="17" t="s">
        <v>25</v>
      </c>
      <c r="I272" s="18" t="s">
        <v>26</v>
      </c>
      <c r="J272" s="15" t="n">
        <v>2020</v>
      </c>
      <c r="K272" s="19" t="s">
        <v>27</v>
      </c>
      <c r="L272" s="15" t="s">
        <v>28</v>
      </c>
      <c r="M272" s="15" t="s">
        <v>33</v>
      </c>
      <c r="N272" s="17" t="s">
        <v>83</v>
      </c>
      <c r="O272" s="15"/>
      <c r="P272" s="15"/>
      <c r="Q272" s="21"/>
      <c r="R272" s="21"/>
      <c r="S272" s="21"/>
      <c r="T272" s="31" t="n">
        <v>45882</v>
      </c>
      <c r="U272" s="34"/>
    </row>
    <row r="273" s="25" customFormat="true" ht="41.4" hidden="false" customHeight="false" outlineLevel="0" collapsed="false">
      <c r="A273" s="36" t="s">
        <v>759</v>
      </c>
      <c r="B273" s="26" t="s">
        <v>760</v>
      </c>
      <c r="C273" s="14" t="s">
        <v>148</v>
      </c>
      <c r="D273" s="15" t="n">
        <v>6</v>
      </c>
      <c r="E273" s="27" t="n">
        <f aca="false">F273/2</f>
        <v>2762</v>
      </c>
      <c r="F273" s="35" t="n">
        <f aca="false">CEILING(4603*1.2,1)</f>
        <v>5524</v>
      </c>
      <c r="G273" s="15" t="s">
        <v>36</v>
      </c>
      <c r="H273" s="17" t="s">
        <v>25</v>
      </c>
      <c r="I273" s="18" t="s">
        <v>26</v>
      </c>
      <c r="J273" s="15" t="n">
        <v>2020</v>
      </c>
      <c r="K273" s="19" t="s">
        <v>27</v>
      </c>
      <c r="L273" s="15" t="s">
        <v>28</v>
      </c>
      <c r="M273" s="15" t="s">
        <v>33</v>
      </c>
      <c r="N273" s="17" t="s">
        <v>83</v>
      </c>
      <c r="O273" s="15"/>
      <c r="P273" s="15"/>
      <c r="Q273" s="21"/>
      <c r="R273" s="21"/>
      <c r="S273" s="21"/>
      <c r="T273" s="31" t="n">
        <v>45882</v>
      </c>
      <c r="U273" s="34"/>
    </row>
    <row r="274" s="25" customFormat="true" ht="41.4" hidden="false" customHeight="false" outlineLevel="0" collapsed="false">
      <c r="A274" s="36" t="s">
        <v>761</v>
      </c>
      <c r="B274" s="26"/>
      <c r="C274" s="14" t="s">
        <v>762</v>
      </c>
      <c r="D274" s="15" t="n">
        <v>4</v>
      </c>
      <c r="E274" s="27" t="n">
        <f aca="false">F274/2</f>
        <v>50</v>
      </c>
      <c r="F274" s="16" t="n">
        <v>100</v>
      </c>
      <c r="G274" s="15" t="s">
        <v>36</v>
      </c>
      <c r="H274" s="17" t="s">
        <v>25</v>
      </c>
      <c r="I274" s="18" t="s">
        <v>26</v>
      </c>
      <c r="J274" s="15" t="n">
        <v>2018</v>
      </c>
      <c r="K274" s="19" t="s">
        <v>763</v>
      </c>
      <c r="L274" s="15" t="s">
        <v>28</v>
      </c>
      <c r="M274" s="15" t="s">
        <v>33</v>
      </c>
      <c r="N274" s="20"/>
      <c r="O274" s="15"/>
      <c r="P274" s="15"/>
      <c r="Q274" s="21"/>
      <c r="R274" s="21"/>
      <c r="S274" s="21"/>
      <c r="T274" s="28"/>
      <c r="U274" s="24"/>
    </row>
    <row r="275" s="25" customFormat="true" ht="41.4" hidden="false" customHeight="false" outlineLevel="0" collapsed="false">
      <c r="A275" s="36" t="s">
        <v>764</v>
      </c>
      <c r="B275" s="26" t="s">
        <v>765</v>
      </c>
      <c r="C275" s="14" t="s">
        <v>296</v>
      </c>
      <c r="D275" s="15" t="n">
        <v>6</v>
      </c>
      <c r="E275" s="27" t="n">
        <v>50</v>
      </c>
      <c r="F275" s="16" t="n">
        <v>100</v>
      </c>
      <c r="G275" s="15" t="s">
        <v>36</v>
      </c>
      <c r="H275" s="17" t="s">
        <v>25</v>
      </c>
      <c r="I275" s="18" t="s">
        <v>26</v>
      </c>
      <c r="J275" s="15"/>
      <c r="K275" s="19" t="s">
        <v>27</v>
      </c>
      <c r="L275" s="15" t="s">
        <v>28</v>
      </c>
      <c r="M275" s="15" t="s">
        <v>33</v>
      </c>
      <c r="N275" s="17"/>
      <c r="O275" s="15"/>
      <c r="P275" s="15"/>
      <c r="Q275" s="21" t="s">
        <v>78</v>
      </c>
      <c r="R275" s="21"/>
      <c r="S275" s="21"/>
      <c r="T275" s="28"/>
      <c r="U275" s="24"/>
    </row>
    <row r="276" s="25" customFormat="true" ht="41.4" hidden="false" customHeight="false" outlineLevel="0" collapsed="false">
      <c r="A276" s="39" t="s">
        <v>766</v>
      </c>
      <c r="B276" s="26"/>
      <c r="C276" s="14" t="s">
        <v>264</v>
      </c>
      <c r="D276" s="15" t="n">
        <v>12</v>
      </c>
      <c r="E276" s="27" t="n">
        <f aca="false">F276/2</f>
        <v>51525.72</v>
      </c>
      <c r="F276" s="16" t="n">
        <f aca="false">110808*0.93</f>
        <v>103051.44</v>
      </c>
      <c r="G276" s="15" t="s">
        <v>36</v>
      </c>
      <c r="H276" s="17" t="s">
        <v>25</v>
      </c>
      <c r="I276" s="18" t="s">
        <v>26</v>
      </c>
      <c r="J276" s="15" t="n">
        <v>2024</v>
      </c>
      <c r="K276" s="19" t="s">
        <v>27</v>
      </c>
      <c r="L276" s="15" t="s">
        <v>28</v>
      </c>
      <c r="M276" s="15" t="s">
        <v>33</v>
      </c>
      <c r="N276" s="17" t="s">
        <v>83</v>
      </c>
      <c r="O276" s="15"/>
      <c r="P276" s="15"/>
      <c r="Q276" s="21"/>
      <c r="R276" s="21"/>
      <c r="S276" s="21"/>
      <c r="T276" s="31" t="n">
        <v>45880</v>
      </c>
      <c r="U276" s="24"/>
    </row>
    <row r="277" s="25" customFormat="true" ht="41.4" hidden="false" customHeight="false" outlineLevel="0" collapsed="false">
      <c r="A277" s="36" t="s">
        <v>767</v>
      </c>
      <c r="B277" s="26" t="s">
        <v>768</v>
      </c>
      <c r="C277" s="14" t="s">
        <v>769</v>
      </c>
      <c r="D277" s="15" t="n">
        <v>4</v>
      </c>
      <c r="E277" s="27" t="n">
        <f aca="false">F277/2</f>
        <v>50</v>
      </c>
      <c r="F277" s="16" t="n">
        <v>100</v>
      </c>
      <c r="G277" s="15" t="s">
        <v>36</v>
      </c>
      <c r="H277" s="17" t="s">
        <v>25</v>
      </c>
      <c r="I277" s="18" t="s">
        <v>26</v>
      </c>
      <c r="J277" s="15" t="n">
        <v>2021</v>
      </c>
      <c r="K277" s="19" t="s">
        <v>27</v>
      </c>
      <c r="L277" s="15" t="s">
        <v>28</v>
      </c>
      <c r="M277" s="15" t="s">
        <v>33</v>
      </c>
      <c r="N277" s="20" t="s">
        <v>167</v>
      </c>
      <c r="O277" s="15"/>
      <c r="P277" s="15"/>
      <c r="Q277" s="21"/>
      <c r="R277" s="21"/>
      <c r="S277" s="21"/>
      <c r="T277" s="28"/>
      <c r="U277" s="34"/>
    </row>
    <row r="278" s="25" customFormat="true" ht="41.4" hidden="false" customHeight="false" outlineLevel="0" collapsed="false">
      <c r="A278" s="36" t="s">
        <v>770</v>
      </c>
      <c r="B278" s="26"/>
      <c r="C278" s="14" t="s">
        <v>771</v>
      </c>
      <c r="D278" s="15" t="n">
        <v>4</v>
      </c>
      <c r="E278" s="27" t="n">
        <f aca="false">F278/2</f>
        <v>2583</v>
      </c>
      <c r="F278" s="16" t="n">
        <v>5166</v>
      </c>
      <c r="G278" s="15" t="s">
        <v>36</v>
      </c>
      <c r="H278" s="17" t="s">
        <v>25</v>
      </c>
      <c r="I278" s="18" t="s">
        <v>26</v>
      </c>
      <c r="J278" s="15" t="n">
        <v>2020</v>
      </c>
      <c r="K278" s="19" t="s">
        <v>772</v>
      </c>
      <c r="L278" s="15" t="s">
        <v>28</v>
      </c>
      <c r="M278" s="15" t="s">
        <v>33</v>
      </c>
      <c r="N278" s="20"/>
      <c r="O278" s="15"/>
      <c r="P278" s="15"/>
      <c r="Q278" s="21" t="s">
        <v>247</v>
      </c>
      <c r="R278" s="21"/>
      <c r="S278" s="21"/>
      <c r="T278" s="28"/>
      <c r="U278" s="24" t="s">
        <v>248</v>
      </c>
    </row>
    <row r="279" s="25" customFormat="true" ht="41.4" hidden="false" customHeight="false" outlineLevel="0" collapsed="false">
      <c r="A279" s="36" t="s">
        <v>773</v>
      </c>
      <c r="B279" s="26" t="s">
        <v>774</v>
      </c>
      <c r="C279" s="14" t="s">
        <v>775</v>
      </c>
      <c r="D279" s="15" t="n">
        <v>6</v>
      </c>
      <c r="E279" s="27" t="n">
        <v>50</v>
      </c>
      <c r="F279" s="16" t="n">
        <v>100</v>
      </c>
      <c r="G279" s="15" t="s">
        <v>36</v>
      </c>
      <c r="H279" s="17" t="s">
        <v>25</v>
      </c>
      <c r="I279" s="18" t="s">
        <v>26</v>
      </c>
      <c r="J279" s="15" t="n">
        <v>2020</v>
      </c>
      <c r="K279" s="19" t="s">
        <v>27</v>
      </c>
      <c r="L279" s="15" t="s">
        <v>28</v>
      </c>
      <c r="M279" s="15" t="s">
        <v>33</v>
      </c>
      <c r="N279" s="20" t="s">
        <v>83</v>
      </c>
      <c r="O279" s="15"/>
      <c r="P279" s="15"/>
      <c r="Q279" s="21"/>
      <c r="R279" s="21"/>
      <c r="S279" s="21"/>
      <c r="T279" s="28"/>
      <c r="U279" s="34"/>
    </row>
    <row r="280" s="25" customFormat="true" ht="41.4" hidden="false" customHeight="false" outlineLevel="0" collapsed="false">
      <c r="A280" s="36" t="s">
        <v>776</v>
      </c>
      <c r="B280" s="26" t="s">
        <v>777</v>
      </c>
      <c r="C280" s="14" t="s">
        <v>192</v>
      </c>
      <c r="D280" s="15" t="n">
        <v>4</v>
      </c>
      <c r="E280" s="27" t="n">
        <f aca="false">F280/2</f>
        <v>900</v>
      </c>
      <c r="F280" s="16" t="n">
        <v>1800</v>
      </c>
      <c r="G280" s="15" t="s">
        <v>36</v>
      </c>
      <c r="H280" s="17" t="s">
        <v>25</v>
      </c>
      <c r="I280" s="18" t="s">
        <v>26</v>
      </c>
      <c r="J280" s="15" t="n">
        <v>2017</v>
      </c>
      <c r="K280" s="19" t="s">
        <v>27</v>
      </c>
      <c r="L280" s="15" t="s">
        <v>28</v>
      </c>
      <c r="M280" s="15" t="s">
        <v>33</v>
      </c>
      <c r="N280" s="17" t="s">
        <v>270</v>
      </c>
      <c r="O280" s="15"/>
      <c r="P280" s="15"/>
      <c r="Q280" s="21"/>
      <c r="R280" s="21"/>
      <c r="S280" s="21"/>
      <c r="T280" s="28"/>
      <c r="U280" s="24"/>
    </row>
    <row r="281" s="25" customFormat="true" ht="41.4" hidden="false" customHeight="false" outlineLevel="0" collapsed="false">
      <c r="A281" s="36" t="s">
        <v>778</v>
      </c>
      <c r="B281" s="26" t="s">
        <v>779</v>
      </c>
      <c r="C281" s="14" t="s">
        <v>192</v>
      </c>
      <c r="D281" s="15" t="n">
        <v>4</v>
      </c>
      <c r="E281" s="27" t="n">
        <f aca="false">F281/2</f>
        <v>900</v>
      </c>
      <c r="F281" s="16" t="n">
        <v>1800</v>
      </c>
      <c r="G281" s="15" t="s">
        <v>36</v>
      </c>
      <c r="H281" s="17" t="s">
        <v>25</v>
      </c>
      <c r="I281" s="18" t="s">
        <v>26</v>
      </c>
      <c r="J281" s="15" t="n">
        <v>2017</v>
      </c>
      <c r="K281" s="19" t="s">
        <v>27</v>
      </c>
      <c r="L281" s="15" t="s">
        <v>28</v>
      </c>
      <c r="M281" s="15" t="s">
        <v>33</v>
      </c>
      <c r="N281" s="17" t="s">
        <v>175</v>
      </c>
      <c r="O281" s="15"/>
      <c r="P281" s="15"/>
      <c r="Q281" s="21"/>
      <c r="R281" s="21"/>
      <c r="S281" s="21"/>
      <c r="T281" s="28"/>
      <c r="U281" s="24"/>
    </row>
    <row r="282" s="25" customFormat="true" ht="41.4" hidden="false" customHeight="false" outlineLevel="0" collapsed="false">
      <c r="A282" s="36" t="s">
        <v>780</v>
      </c>
      <c r="B282" s="26" t="s">
        <v>781</v>
      </c>
      <c r="C282" s="14" t="s">
        <v>192</v>
      </c>
      <c r="D282" s="15" t="n">
        <v>4</v>
      </c>
      <c r="E282" s="27" t="n">
        <f aca="false">F282/2</f>
        <v>900</v>
      </c>
      <c r="F282" s="16" t="n">
        <v>1800</v>
      </c>
      <c r="G282" s="15" t="s">
        <v>36</v>
      </c>
      <c r="H282" s="17" t="s">
        <v>25</v>
      </c>
      <c r="I282" s="18" t="s">
        <v>26</v>
      </c>
      <c r="J282" s="15" t="n">
        <v>2017</v>
      </c>
      <c r="K282" s="19" t="s">
        <v>27</v>
      </c>
      <c r="L282" s="15" t="s">
        <v>28</v>
      </c>
      <c r="M282" s="15" t="s">
        <v>33</v>
      </c>
      <c r="N282" s="17" t="s">
        <v>600</v>
      </c>
      <c r="O282" s="15"/>
      <c r="P282" s="15"/>
      <c r="Q282" s="21"/>
      <c r="R282" s="21"/>
      <c r="S282" s="21"/>
      <c r="T282" s="28"/>
      <c r="U282" s="24"/>
    </row>
    <row r="283" s="25" customFormat="true" ht="41.4" hidden="false" customHeight="false" outlineLevel="0" collapsed="false">
      <c r="A283" s="36" t="s">
        <v>782</v>
      </c>
      <c r="B283" s="26" t="s">
        <v>783</v>
      </c>
      <c r="C283" s="14" t="s">
        <v>192</v>
      </c>
      <c r="D283" s="15" t="n">
        <v>4</v>
      </c>
      <c r="E283" s="27" t="n">
        <f aca="false">F283/2</f>
        <v>900</v>
      </c>
      <c r="F283" s="16" t="n">
        <v>1800</v>
      </c>
      <c r="G283" s="15" t="s">
        <v>36</v>
      </c>
      <c r="H283" s="17" t="s">
        <v>25</v>
      </c>
      <c r="I283" s="18" t="s">
        <v>26</v>
      </c>
      <c r="J283" s="15" t="n">
        <v>2017</v>
      </c>
      <c r="K283" s="19" t="s">
        <v>27</v>
      </c>
      <c r="L283" s="15" t="s">
        <v>28</v>
      </c>
      <c r="M283" s="15" t="s">
        <v>33</v>
      </c>
      <c r="N283" s="17"/>
      <c r="O283" s="15"/>
      <c r="P283" s="15"/>
      <c r="Q283" s="21"/>
      <c r="R283" s="21"/>
      <c r="S283" s="21"/>
      <c r="T283" s="28"/>
      <c r="U283" s="24"/>
    </row>
    <row r="284" s="25" customFormat="true" ht="41.4" hidden="false" customHeight="false" outlineLevel="0" collapsed="false">
      <c r="A284" s="36" t="s">
        <v>784</v>
      </c>
      <c r="B284" s="26" t="s">
        <v>785</v>
      </c>
      <c r="C284" s="14" t="s">
        <v>192</v>
      </c>
      <c r="D284" s="15" t="n">
        <v>4</v>
      </c>
      <c r="E284" s="27" t="n">
        <f aca="false">F284/2</f>
        <v>900</v>
      </c>
      <c r="F284" s="16" t="n">
        <v>1800</v>
      </c>
      <c r="G284" s="15" t="s">
        <v>36</v>
      </c>
      <c r="H284" s="17" t="s">
        <v>25</v>
      </c>
      <c r="I284" s="18" t="s">
        <v>26</v>
      </c>
      <c r="J284" s="15" t="n">
        <v>2017</v>
      </c>
      <c r="K284" s="19" t="s">
        <v>27</v>
      </c>
      <c r="L284" s="15" t="s">
        <v>28</v>
      </c>
      <c r="M284" s="15" t="s">
        <v>33</v>
      </c>
      <c r="N284" s="17" t="s">
        <v>45</v>
      </c>
      <c r="O284" s="15"/>
      <c r="P284" s="15"/>
      <c r="Q284" s="21"/>
      <c r="R284" s="21"/>
      <c r="S284" s="21"/>
      <c r="T284" s="28"/>
      <c r="U284" s="24"/>
    </row>
    <row r="285" s="25" customFormat="true" ht="41.4" hidden="false" customHeight="false" outlineLevel="0" collapsed="false">
      <c r="A285" s="36" t="s">
        <v>786</v>
      </c>
      <c r="B285" s="26" t="s">
        <v>787</v>
      </c>
      <c r="C285" s="14" t="s">
        <v>192</v>
      </c>
      <c r="D285" s="15" t="n">
        <v>4</v>
      </c>
      <c r="E285" s="27" t="n">
        <f aca="false">F285/2</f>
        <v>900</v>
      </c>
      <c r="F285" s="16" t="n">
        <v>1800</v>
      </c>
      <c r="G285" s="15" t="s">
        <v>36</v>
      </c>
      <c r="H285" s="17" t="s">
        <v>25</v>
      </c>
      <c r="I285" s="18" t="s">
        <v>26</v>
      </c>
      <c r="J285" s="15" t="n">
        <v>2017</v>
      </c>
      <c r="K285" s="19" t="s">
        <v>27</v>
      </c>
      <c r="L285" s="15" t="s">
        <v>28</v>
      </c>
      <c r="M285" s="15" t="s">
        <v>33</v>
      </c>
      <c r="N285" s="17" t="s">
        <v>175</v>
      </c>
      <c r="O285" s="15"/>
      <c r="P285" s="15"/>
      <c r="Q285" s="21"/>
      <c r="R285" s="21"/>
      <c r="S285" s="21"/>
      <c r="T285" s="28"/>
      <c r="U285" s="24"/>
    </row>
    <row r="286" s="25" customFormat="true" ht="41.4" hidden="false" customHeight="false" outlineLevel="0" collapsed="false">
      <c r="A286" s="36" t="s">
        <v>788</v>
      </c>
      <c r="B286" s="26" t="s">
        <v>789</v>
      </c>
      <c r="C286" s="14" t="s">
        <v>192</v>
      </c>
      <c r="D286" s="15" t="n">
        <v>4</v>
      </c>
      <c r="E286" s="27" t="n">
        <f aca="false">F286/2</f>
        <v>900</v>
      </c>
      <c r="F286" s="16" t="n">
        <v>1800</v>
      </c>
      <c r="G286" s="15" t="s">
        <v>36</v>
      </c>
      <c r="H286" s="17" t="s">
        <v>25</v>
      </c>
      <c r="I286" s="18" t="s">
        <v>26</v>
      </c>
      <c r="J286" s="15" t="n">
        <v>2017</v>
      </c>
      <c r="K286" s="19" t="s">
        <v>27</v>
      </c>
      <c r="L286" s="15" t="s">
        <v>28</v>
      </c>
      <c r="M286" s="15" t="s">
        <v>33</v>
      </c>
      <c r="N286" s="17" t="s">
        <v>655</v>
      </c>
      <c r="O286" s="15"/>
      <c r="P286" s="15"/>
      <c r="Q286" s="21"/>
      <c r="R286" s="21"/>
      <c r="S286" s="21"/>
      <c r="T286" s="28"/>
      <c r="U286" s="24"/>
    </row>
    <row r="287" s="25" customFormat="true" ht="41.4" hidden="false" customHeight="false" outlineLevel="0" collapsed="false">
      <c r="A287" s="36" t="s">
        <v>790</v>
      </c>
      <c r="B287" s="26" t="s">
        <v>791</v>
      </c>
      <c r="C287" s="14" t="s">
        <v>192</v>
      </c>
      <c r="D287" s="15" t="n">
        <v>4</v>
      </c>
      <c r="E287" s="27" t="n">
        <f aca="false">F287/2</f>
        <v>900</v>
      </c>
      <c r="F287" s="16" t="n">
        <v>1800</v>
      </c>
      <c r="G287" s="15" t="s">
        <v>36</v>
      </c>
      <c r="H287" s="17" t="s">
        <v>25</v>
      </c>
      <c r="I287" s="18" t="s">
        <v>26</v>
      </c>
      <c r="J287" s="15" t="n">
        <v>2017</v>
      </c>
      <c r="K287" s="19" t="s">
        <v>27</v>
      </c>
      <c r="L287" s="15" t="s">
        <v>28</v>
      </c>
      <c r="M287" s="15" t="s">
        <v>33</v>
      </c>
      <c r="N287" s="17" t="s">
        <v>139</v>
      </c>
      <c r="O287" s="15"/>
      <c r="P287" s="15"/>
      <c r="Q287" s="21"/>
      <c r="R287" s="21"/>
      <c r="S287" s="21"/>
      <c r="T287" s="28"/>
      <c r="U287" s="24"/>
    </row>
    <row r="288" s="25" customFormat="true" ht="41.4" hidden="false" customHeight="false" outlineLevel="0" collapsed="false">
      <c r="A288" s="36" t="s">
        <v>792</v>
      </c>
      <c r="B288" s="26" t="s">
        <v>793</v>
      </c>
      <c r="C288" s="14" t="s">
        <v>192</v>
      </c>
      <c r="D288" s="15" t="n">
        <v>4</v>
      </c>
      <c r="E288" s="27" t="n">
        <f aca="false">F288/2</f>
        <v>900</v>
      </c>
      <c r="F288" s="16" t="n">
        <v>1800</v>
      </c>
      <c r="G288" s="15" t="s">
        <v>36</v>
      </c>
      <c r="H288" s="17" t="s">
        <v>25</v>
      </c>
      <c r="I288" s="18" t="s">
        <v>26</v>
      </c>
      <c r="J288" s="15" t="n">
        <v>2017</v>
      </c>
      <c r="K288" s="19" t="s">
        <v>27</v>
      </c>
      <c r="L288" s="15" t="s">
        <v>28</v>
      </c>
      <c r="M288" s="15" t="s">
        <v>33</v>
      </c>
      <c r="N288" s="17" t="s">
        <v>83</v>
      </c>
      <c r="O288" s="15"/>
      <c r="P288" s="15"/>
      <c r="Q288" s="21"/>
      <c r="R288" s="21"/>
      <c r="S288" s="21"/>
      <c r="T288" s="28"/>
      <c r="U288" s="24"/>
    </row>
    <row r="289" s="25" customFormat="true" ht="41.4" hidden="false" customHeight="false" outlineLevel="0" collapsed="false">
      <c r="A289" s="36" t="s">
        <v>794</v>
      </c>
      <c r="B289" s="26" t="s">
        <v>795</v>
      </c>
      <c r="C289" s="14" t="s">
        <v>192</v>
      </c>
      <c r="D289" s="15" t="n">
        <v>4</v>
      </c>
      <c r="E289" s="27" t="n">
        <f aca="false">F289/2</f>
        <v>900</v>
      </c>
      <c r="F289" s="16" t="n">
        <v>1800</v>
      </c>
      <c r="G289" s="15" t="s">
        <v>36</v>
      </c>
      <c r="H289" s="17" t="s">
        <v>25</v>
      </c>
      <c r="I289" s="18" t="s">
        <v>26</v>
      </c>
      <c r="J289" s="15" t="n">
        <v>2017</v>
      </c>
      <c r="K289" s="19" t="s">
        <v>27</v>
      </c>
      <c r="L289" s="15" t="s">
        <v>28</v>
      </c>
      <c r="M289" s="15" t="s">
        <v>33</v>
      </c>
      <c r="N289" s="17" t="s">
        <v>184</v>
      </c>
      <c r="O289" s="15"/>
      <c r="P289" s="15"/>
      <c r="Q289" s="21"/>
      <c r="R289" s="21"/>
      <c r="S289" s="21"/>
      <c r="T289" s="28"/>
      <c r="U289" s="24"/>
    </row>
    <row r="290" s="25" customFormat="true" ht="41.4" hidden="false" customHeight="false" outlineLevel="0" collapsed="false">
      <c r="A290" s="36" t="s">
        <v>796</v>
      </c>
      <c r="B290" s="26" t="s">
        <v>797</v>
      </c>
      <c r="C290" s="14" t="s">
        <v>192</v>
      </c>
      <c r="D290" s="15" t="n">
        <v>4</v>
      </c>
      <c r="E290" s="27" t="n">
        <f aca="false">F290/2</f>
        <v>900</v>
      </c>
      <c r="F290" s="16" t="n">
        <v>1800</v>
      </c>
      <c r="G290" s="15" t="s">
        <v>36</v>
      </c>
      <c r="H290" s="17" t="s">
        <v>25</v>
      </c>
      <c r="I290" s="18" t="s">
        <v>26</v>
      </c>
      <c r="J290" s="15" t="n">
        <v>2017</v>
      </c>
      <c r="K290" s="19" t="s">
        <v>27</v>
      </c>
      <c r="L290" s="15" t="s">
        <v>28</v>
      </c>
      <c r="M290" s="15" t="s">
        <v>33</v>
      </c>
      <c r="N290" s="17" t="s">
        <v>798</v>
      </c>
      <c r="O290" s="15"/>
      <c r="P290" s="15"/>
      <c r="Q290" s="21"/>
      <c r="R290" s="21"/>
      <c r="S290" s="21"/>
      <c r="T290" s="28"/>
      <c r="U290" s="24"/>
    </row>
    <row r="291" s="25" customFormat="true" ht="41.4" hidden="false" customHeight="false" outlineLevel="0" collapsed="false">
      <c r="A291" s="36" t="s">
        <v>799</v>
      </c>
      <c r="B291" s="26" t="s">
        <v>800</v>
      </c>
      <c r="C291" s="14" t="s">
        <v>192</v>
      </c>
      <c r="D291" s="15" t="n">
        <v>4</v>
      </c>
      <c r="E291" s="27" t="n">
        <f aca="false">F291/2</f>
        <v>900</v>
      </c>
      <c r="F291" s="16" t="n">
        <v>1800</v>
      </c>
      <c r="G291" s="15" t="s">
        <v>36</v>
      </c>
      <c r="H291" s="17" t="s">
        <v>25</v>
      </c>
      <c r="I291" s="18" t="s">
        <v>26</v>
      </c>
      <c r="J291" s="15" t="n">
        <v>2017</v>
      </c>
      <c r="K291" s="19" t="s">
        <v>27</v>
      </c>
      <c r="L291" s="15" t="s">
        <v>28</v>
      </c>
      <c r="M291" s="15" t="s">
        <v>33</v>
      </c>
      <c r="N291" s="17" t="s">
        <v>45</v>
      </c>
      <c r="O291" s="15"/>
      <c r="P291" s="15"/>
      <c r="Q291" s="21"/>
      <c r="R291" s="21"/>
      <c r="S291" s="21"/>
      <c r="T291" s="28"/>
      <c r="U291" s="24"/>
    </row>
    <row r="292" s="25" customFormat="true" ht="41.4" hidden="false" customHeight="false" outlineLevel="0" collapsed="false">
      <c r="A292" s="36" t="s">
        <v>801</v>
      </c>
      <c r="B292" s="26" t="s">
        <v>802</v>
      </c>
      <c r="C292" s="14" t="s">
        <v>192</v>
      </c>
      <c r="D292" s="15" t="n">
        <v>4</v>
      </c>
      <c r="E292" s="27" t="n">
        <f aca="false">F292/2</f>
        <v>900</v>
      </c>
      <c r="F292" s="16" t="n">
        <v>1800</v>
      </c>
      <c r="G292" s="15" t="s">
        <v>36</v>
      </c>
      <c r="H292" s="17" t="s">
        <v>25</v>
      </c>
      <c r="I292" s="18" t="s">
        <v>26</v>
      </c>
      <c r="J292" s="15" t="n">
        <v>2017</v>
      </c>
      <c r="K292" s="19" t="s">
        <v>27</v>
      </c>
      <c r="L292" s="15" t="s">
        <v>28</v>
      </c>
      <c r="M292" s="15" t="s">
        <v>33</v>
      </c>
      <c r="N292" s="17" t="s">
        <v>682</v>
      </c>
      <c r="O292" s="15"/>
      <c r="P292" s="15"/>
      <c r="Q292" s="21"/>
      <c r="R292" s="21"/>
      <c r="S292" s="21"/>
      <c r="T292" s="28"/>
      <c r="U292" s="24"/>
    </row>
    <row r="293" s="25" customFormat="true" ht="41.4" hidden="false" customHeight="false" outlineLevel="0" collapsed="false">
      <c r="A293" s="36" t="s">
        <v>803</v>
      </c>
      <c r="B293" s="26" t="s">
        <v>804</v>
      </c>
      <c r="C293" s="14" t="s">
        <v>192</v>
      </c>
      <c r="D293" s="15" t="n">
        <v>4</v>
      </c>
      <c r="E293" s="27" t="n">
        <f aca="false">F293/2</f>
        <v>900</v>
      </c>
      <c r="F293" s="16" t="n">
        <v>1800</v>
      </c>
      <c r="G293" s="15" t="s">
        <v>36</v>
      </c>
      <c r="H293" s="17" t="s">
        <v>25</v>
      </c>
      <c r="I293" s="18" t="s">
        <v>26</v>
      </c>
      <c r="J293" s="15" t="n">
        <v>2017</v>
      </c>
      <c r="K293" s="19" t="s">
        <v>27</v>
      </c>
      <c r="L293" s="15" t="s">
        <v>28</v>
      </c>
      <c r="M293" s="15" t="s">
        <v>33</v>
      </c>
      <c r="N293" s="17" t="s">
        <v>160</v>
      </c>
      <c r="O293" s="15"/>
      <c r="P293" s="15"/>
      <c r="Q293" s="21"/>
      <c r="R293" s="21"/>
      <c r="S293" s="21"/>
      <c r="T293" s="28"/>
      <c r="U293" s="24"/>
    </row>
    <row r="294" s="25" customFormat="true" ht="41.4" hidden="false" customHeight="false" outlineLevel="0" collapsed="false">
      <c r="A294" s="36" t="s">
        <v>805</v>
      </c>
      <c r="B294" s="26" t="s">
        <v>806</v>
      </c>
      <c r="C294" s="14" t="s">
        <v>192</v>
      </c>
      <c r="D294" s="15" t="n">
        <v>4</v>
      </c>
      <c r="E294" s="27" t="n">
        <f aca="false">F294/2</f>
        <v>900</v>
      </c>
      <c r="F294" s="16" t="n">
        <v>1800</v>
      </c>
      <c r="G294" s="15" t="s">
        <v>36</v>
      </c>
      <c r="H294" s="17" t="s">
        <v>25</v>
      </c>
      <c r="I294" s="18" t="s">
        <v>26</v>
      </c>
      <c r="J294" s="15" t="n">
        <v>2017</v>
      </c>
      <c r="K294" s="19" t="s">
        <v>27</v>
      </c>
      <c r="L294" s="15" t="s">
        <v>28</v>
      </c>
      <c r="M294" s="15" t="s">
        <v>33</v>
      </c>
      <c r="N294" s="17" t="s">
        <v>719</v>
      </c>
      <c r="O294" s="15"/>
      <c r="P294" s="15"/>
      <c r="Q294" s="21"/>
      <c r="R294" s="21"/>
      <c r="S294" s="21"/>
      <c r="T294" s="28"/>
      <c r="U294" s="24"/>
    </row>
    <row r="295" s="25" customFormat="true" ht="41.4" hidden="false" customHeight="false" outlineLevel="0" collapsed="false">
      <c r="A295" s="36" t="s">
        <v>807</v>
      </c>
      <c r="B295" s="26" t="s">
        <v>808</v>
      </c>
      <c r="C295" s="14" t="s">
        <v>192</v>
      </c>
      <c r="D295" s="15" t="n">
        <v>4</v>
      </c>
      <c r="E295" s="27" t="n">
        <f aca="false">F295/2</f>
        <v>900</v>
      </c>
      <c r="F295" s="16" t="n">
        <v>1800</v>
      </c>
      <c r="G295" s="15" t="s">
        <v>36</v>
      </c>
      <c r="H295" s="17" t="s">
        <v>25</v>
      </c>
      <c r="I295" s="18" t="s">
        <v>26</v>
      </c>
      <c r="J295" s="15" t="n">
        <v>2017</v>
      </c>
      <c r="K295" s="19" t="s">
        <v>27</v>
      </c>
      <c r="L295" s="15" t="s">
        <v>28</v>
      </c>
      <c r="M295" s="15" t="s">
        <v>33</v>
      </c>
      <c r="N295" s="17" t="s">
        <v>809</v>
      </c>
      <c r="O295" s="15"/>
      <c r="P295" s="15"/>
      <c r="Q295" s="21"/>
      <c r="R295" s="21"/>
      <c r="S295" s="21"/>
      <c r="T295" s="28"/>
      <c r="U295" s="24"/>
    </row>
    <row r="296" s="25" customFormat="true" ht="41.4" hidden="false" customHeight="false" outlineLevel="0" collapsed="false">
      <c r="A296" s="36" t="s">
        <v>810</v>
      </c>
      <c r="B296" s="26" t="s">
        <v>811</v>
      </c>
      <c r="C296" s="14" t="s">
        <v>192</v>
      </c>
      <c r="D296" s="15" t="n">
        <v>4</v>
      </c>
      <c r="E296" s="27" t="n">
        <f aca="false">F296/2</f>
        <v>900</v>
      </c>
      <c r="F296" s="16" t="n">
        <v>1800</v>
      </c>
      <c r="G296" s="15" t="s">
        <v>36</v>
      </c>
      <c r="H296" s="17" t="s">
        <v>25</v>
      </c>
      <c r="I296" s="18" t="s">
        <v>26</v>
      </c>
      <c r="J296" s="15" t="n">
        <v>2017</v>
      </c>
      <c r="K296" s="19" t="s">
        <v>27</v>
      </c>
      <c r="L296" s="15" t="s">
        <v>28</v>
      </c>
      <c r="M296" s="15" t="s">
        <v>33</v>
      </c>
      <c r="N296" s="17" t="s">
        <v>53</v>
      </c>
      <c r="O296" s="15"/>
      <c r="P296" s="15"/>
      <c r="Q296" s="21"/>
      <c r="R296" s="21"/>
      <c r="S296" s="21"/>
      <c r="T296" s="28"/>
      <c r="U296" s="24"/>
    </row>
    <row r="297" s="25" customFormat="true" ht="41.4" hidden="false" customHeight="false" outlineLevel="0" collapsed="false">
      <c r="A297" s="36" t="s">
        <v>812</v>
      </c>
      <c r="B297" s="26" t="s">
        <v>813</v>
      </c>
      <c r="C297" s="14" t="s">
        <v>192</v>
      </c>
      <c r="D297" s="15" t="n">
        <v>4</v>
      </c>
      <c r="E297" s="27" t="n">
        <f aca="false">F297/2</f>
        <v>900</v>
      </c>
      <c r="F297" s="16" t="n">
        <v>1800</v>
      </c>
      <c r="G297" s="15" t="s">
        <v>36</v>
      </c>
      <c r="H297" s="17" t="s">
        <v>25</v>
      </c>
      <c r="I297" s="18" t="s">
        <v>26</v>
      </c>
      <c r="J297" s="15" t="n">
        <v>2017</v>
      </c>
      <c r="K297" s="19" t="s">
        <v>27</v>
      </c>
      <c r="L297" s="15" t="s">
        <v>28</v>
      </c>
      <c r="M297" s="15" t="s">
        <v>33</v>
      </c>
      <c r="N297" s="17" t="s">
        <v>72</v>
      </c>
      <c r="O297" s="15"/>
      <c r="P297" s="15"/>
      <c r="Q297" s="21"/>
      <c r="R297" s="21"/>
      <c r="S297" s="21"/>
      <c r="T297" s="28"/>
      <c r="U297" s="24"/>
    </row>
    <row r="298" s="25" customFormat="true" ht="41.4" hidden="false" customHeight="false" outlineLevel="0" collapsed="false">
      <c r="A298" s="36" t="s">
        <v>814</v>
      </c>
      <c r="B298" s="26" t="s">
        <v>815</v>
      </c>
      <c r="C298" s="14" t="s">
        <v>816</v>
      </c>
      <c r="D298" s="15" t="n">
        <v>6</v>
      </c>
      <c r="E298" s="27" t="n">
        <f aca="false">F298/2</f>
        <v>2250</v>
      </c>
      <c r="F298" s="16" t="n">
        <v>4500</v>
      </c>
      <c r="G298" s="15" t="s">
        <v>24</v>
      </c>
      <c r="H298" s="17" t="s">
        <v>25</v>
      </c>
      <c r="I298" s="18" t="s">
        <v>26</v>
      </c>
      <c r="J298" s="15" t="n">
        <v>2003</v>
      </c>
      <c r="K298" s="19" t="s">
        <v>27</v>
      </c>
      <c r="L298" s="15" t="s">
        <v>28</v>
      </c>
      <c r="M298" s="15" t="s">
        <v>33</v>
      </c>
      <c r="N298" s="17" t="s">
        <v>83</v>
      </c>
      <c r="O298" s="15"/>
      <c r="P298" s="15"/>
      <c r="Q298" s="21" t="s">
        <v>302</v>
      </c>
      <c r="R298" s="21"/>
      <c r="S298" s="21"/>
      <c r="T298" s="28"/>
      <c r="U298" s="24"/>
    </row>
    <row r="299" s="25" customFormat="true" ht="41.4" hidden="false" customHeight="false" outlineLevel="0" collapsed="false">
      <c r="A299" s="36" t="s">
        <v>817</v>
      </c>
      <c r="B299" s="26" t="s">
        <v>818</v>
      </c>
      <c r="C299" s="14" t="s">
        <v>246</v>
      </c>
      <c r="D299" s="15" t="n">
        <v>12</v>
      </c>
      <c r="E299" s="27" t="n">
        <f aca="false">F299/2</f>
        <v>24208.5</v>
      </c>
      <c r="F299" s="38" t="n">
        <v>48417</v>
      </c>
      <c r="G299" s="15" t="s">
        <v>36</v>
      </c>
      <c r="H299" s="17" t="s">
        <v>25</v>
      </c>
      <c r="I299" s="18" t="s">
        <v>26</v>
      </c>
      <c r="J299" s="15" t="n">
        <v>2017</v>
      </c>
      <c r="K299" s="19" t="s">
        <v>27</v>
      </c>
      <c r="L299" s="15" t="s">
        <v>28</v>
      </c>
      <c r="M299" s="15" t="s">
        <v>33</v>
      </c>
      <c r="N299" s="17"/>
      <c r="O299" s="15"/>
      <c r="P299" s="15"/>
      <c r="Q299" s="21" t="s">
        <v>247</v>
      </c>
      <c r="R299" s="21"/>
      <c r="S299" s="21"/>
      <c r="T299" s="31" t="n">
        <v>45882</v>
      </c>
      <c r="U299" s="24" t="s">
        <v>248</v>
      </c>
    </row>
    <row r="300" s="25" customFormat="true" ht="41.4" hidden="false" customHeight="false" outlineLevel="0" collapsed="false">
      <c r="A300" s="36" t="s">
        <v>819</v>
      </c>
      <c r="B300" s="26" t="s">
        <v>820</v>
      </c>
      <c r="C300" s="14" t="s">
        <v>246</v>
      </c>
      <c r="D300" s="15" t="n">
        <v>6</v>
      </c>
      <c r="E300" s="27" t="n">
        <f aca="false">F300/2</f>
        <v>12474</v>
      </c>
      <c r="F300" s="38" t="n">
        <v>24948</v>
      </c>
      <c r="G300" s="15" t="s">
        <v>36</v>
      </c>
      <c r="H300" s="17" t="s">
        <v>25</v>
      </c>
      <c r="I300" s="18" t="s">
        <v>26</v>
      </c>
      <c r="J300" s="15" t="n">
        <v>2019</v>
      </c>
      <c r="K300" s="19" t="s">
        <v>65</v>
      </c>
      <c r="L300" s="15" t="s">
        <v>28</v>
      </c>
      <c r="M300" s="15" t="s">
        <v>33</v>
      </c>
      <c r="N300" s="17" t="s">
        <v>270</v>
      </c>
      <c r="O300" s="15"/>
      <c r="P300" s="15"/>
      <c r="Q300" s="21"/>
      <c r="R300" s="21"/>
      <c r="S300" s="21"/>
      <c r="T300" s="31" t="n">
        <v>45882</v>
      </c>
      <c r="U300" s="34"/>
    </row>
    <row r="301" s="25" customFormat="true" ht="41.4" hidden="false" customHeight="false" outlineLevel="0" collapsed="false">
      <c r="A301" s="36" t="s">
        <v>821</v>
      </c>
      <c r="B301" s="26" t="s">
        <v>822</v>
      </c>
      <c r="C301" s="14" t="s">
        <v>823</v>
      </c>
      <c r="D301" s="15" t="n">
        <v>4</v>
      </c>
      <c r="E301" s="27" t="n">
        <f aca="false">F301/2</f>
        <v>1000</v>
      </c>
      <c r="F301" s="16" t="n">
        <v>2000</v>
      </c>
      <c r="G301" s="15" t="s">
        <v>354</v>
      </c>
      <c r="H301" s="17" t="s">
        <v>25</v>
      </c>
      <c r="I301" s="18" t="s">
        <v>26</v>
      </c>
      <c r="J301" s="15" t="n">
        <v>2017</v>
      </c>
      <c r="K301" s="19" t="s">
        <v>27</v>
      </c>
      <c r="L301" s="15" t="s">
        <v>28</v>
      </c>
      <c r="M301" s="15" t="s">
        <v>33</v>
      </c>
      <c r="N301" s="17" t="s">
        <v>72</v>
      </c>
      <c r="O301" s="15"/>
      <c r="P301" s="15"/>
      <c r="Q301" s="21" t="s">
        <v>78</v>
      </c>
      <c r="R301" s="21"/>
      <c r="S301" s="21"/>
      <c r="T301" s="28"/>
      <c r="U301" s="24"/>
    </row>
    <row r="302" s="25" customFormat="true" ht="41.4" hidden="false" customHeight="false" outlineLevel="0" collapsed="false">
      <c r="A302" s="36" t="s">
        <v>824</v>
      </c>
      <c r="B302" s="26" t="s">
        <v>825</v>
      </c>
      <c r="C302" s="14" t="s">
        <v>826</v>
      </c>
      <c r="D302" s="15" t="n">
        <v>4</v>
      </c>
      <c r="E302" s="27" t="n">
        <f aca="false">F302/2</f>
        <v>50</v>
      </c>
      <c r="F302" s="16" t="n">
        <v>100</v>
      </c>
      <c r="G302" s="15" t="s">
        <v>36</v>
      </c>
      <c r="H302" s="17" t="s">
        <v>25</v>
      </c>
      <c r="I302" s="18" t="s">
        <v>26</v>
      </c>
      <c r="J302" s="15" t="n">
        <v>2002</v>
      </c>
      <c r="K302" s="19" t="s">
        <v>27</v>
      </c>
      <c r="L302" s="15" t="s">
        <v>28</v>
      </c>
      <c r="M302" s="15" t="s">
        <v>33</v>
      </c>
      <c r="N302" s="20"/>
      <c r="O302" s="15"/>
      <c r="P302" s="15"/>
      <c r="Q302" s="21"/>
      <c r="R302" s="21"/>
      <c r="S302" s="21"/>
      <c r="T302" s="28"/>
      <c r="U302" s="34"/>
    </row>
    <row r="303" s="25" customFormat="true" ht="41.4" hidden="false" customHeight="false" outlineLevel="0" collapsed="false">
      <c r="A303" s="36" t="s">
        <v>827</v>
      </c>
      <c r="B303" s="26" t="s">
        <v>828</v>
      </c>
      <c r="C303" s="14" t="s">
        <v>64</v>
      </c>
      <c r="D303" s="15" t="n">
        <v>4</v>
      </c>
      <c r="E303" s="27" t="n">
        <v>880</v>
      </c>
      <c r="F303" s="16" t="n">
        <v>1760</v>
      </c>
      <c r="G303" s="15" t="s">
        <v>36</v>
      </c>
      <c r="H303" s="17" t="s">
        <v>25</v>
      </c>
      <c r="I303" s="18" t="s">
        <v>26</v>
      </c>
      <c r="J303" s="15" t="n">
        <v>2013</v>
      </c>
      <c r="K303" s="19" t="s">
        <v>65</v>
      </c>
      <c r="L303" s="15" t="s">
        <v>28</v>
      </c>
      <c r="M303" s="15" t="s">
        <v>33</v>
      </c>
      <c r="N303" s="17" t="s">
        <v>712</v>
      </c>
      <c r="O303" s="15" t="s">
        <v>54</v>
      </c>
      <c r="P303" s="15"/>
      <c r="Q303" s="21" t="s">
        <v>68</v>
      </c>
      <c r="R303" s="21"/>
      <c r="S303" s="21"/>
      <c r="T303" s="28"/>
      <c r="U303" s="24"/>
    </row>
    <row r="304" s="25" customFormat="true" ht="41.4" hidden="false" customHeight="false" outlineLevel="0" collapsed="false">
      <c r="A304" s="36" t="s">
        <v>829</v>
      </c>
      <c r="B304" s="26" t="s">
        <v>830</v>
      </c>
      <c r="C304" s="14" t="s">
        <v>64</v>
      </c>
      <c r="D304" s="15" t="n">
        <v>4</v>
      </c>
      <c r="E304" s="27" t="n">
        <v>880</v>
      </c>
      <c r="F304" s="16" t="n">
        <v>1760</v>
      </c>
      <c r="G304" s="15" t="s">
        <v>36</v>
      </c>
      <c r="H304" s="17" t="s">
        <v>25</v>
      </c>
      <c r="I304" s="18" t="s">
        <v>26</v>
      </c>
      <c r="J304" s="15" t="n">
        <v>2013</v>
      </c>
      <c r="K304" s="19" t="s">
        <v>65</v>
      </c>
      <c r="L304" s="15" t="s">
        <v>28</v>
      </c>
      <c r="M304" s="15" t="s">
        <v>33</v>
      </c>
      <c r="N304" s="17" t="s">
        <v>208</v>
      </c>
      <c r="O304" s="15" t="s">
        <v>54</v>
      </c>
      <c r="P304" s="15"/>
      <c r="Q304" s="21" t="s">
        <v>68</v>
      </c>
      <c r="R304" s="21"/>
      <c r="S304" s="21"/>
      <c r="T304" s="28"/>
      <c r="U304" s="24"/>
    </row>
    <row r="305" s="25" customFormat="true" ht="41.4" hidden="false" customHeight="false" outlineLevel="0" collapsed="false">
      <c r="A305" s="36" t="s">
        <v>831</v>
      </c>
      <c r="B305" s="26" t="s">
        <v>832</v>
      </c>
      <c r="C305" s="14" t="s">
        <v>64</v>
      </c>
      <c r="D305" s="15" t="n">
        <v>4</v>
      </c>
      <c r="E305" s="27" t="n">
        <v>880</v>
      </c>
      <c r="F305" s="16" t="n">
        <v>1760</v>
      </c>
      <c r="G305" s="15" t="s">
        <v>36</v>
      </c>
      <c r="H305" s="17" t="s">
        <v>25</v>
      </c>
      <c r="I305" s="18" t="s">
        <v>26</v>
      </c>
      <c r="J305" s="15" t="n">
        <v>2013</v>
      </c>
      <c r="K305" s="19" t="s">
        <v>65</v>
      </c>
      <c r="L305" s="15" t="s">
        <v>28</v>
      </c>
      <c r="M305" s="15" t="s">
        <v>33</v>
      </c>
      <c r="N305" s="17" t="s">
        <v>175</v>
      </c>
      <c r="O305" s="15" t="s">
        <v>54</v>
      </c>
      <c r="P305" s="15"/>
      <c r="Q305" s="21" t="s">
        <v>68</v>
      </c>
      <c r="R305" s="21"/>
      <c r="S305" s="21"/>
      <c r="T305" s="28"/>
      <c r="U305" s="24"/>
    </row>
    <row r="306" s="25" customFormat="true" ht="41.4" hidden="false" customHeight="false" outlineLevel="0" collapsed="false">
      <c r="A306" s="36" t="s">
        <v>833</v>
      </c>
      <c r="B306" s="26" t="s">
        <v>834</v>
      </c>
      <c r="C306" s="14" t="s">
        <v>64</v>
      </c>
      <c r="D306" s="15" t="n">
        <v>4</v>
      </c>
      <c r="E306" s="27" t="n">
        <v>880</v>
      </c>
      <c r="F306" s="16" t="n">
        <v>1760</v>
      </c>
      <c r="G306" s="15" t="s">
        <v>36</v>
      </c>
      <c r="H306" s="17" t="s">
        <v>25</v>
      </c>
      <c r="I306" s="18" t="s">
        <v>26</v>
      </c>
      <c r="J306" s="15" t="n">
        <v>2013</v>
      </c>
      <c r="K306" s="19" t="s">
        <v>65</v>
      </c>
      <c r="L306" s="15" t="s">
        <v>28</v>
      </c>
      <c r="M306" s="15" t="s">
        <v>33</v>
      </c>
      <c r="N306" s="17" t="s">
        <v>139</v>
      </c>
      <c r="O306" s="15" t="s">
        <v>54</v>
      </c>
      <c r="P306" s="15"/>
      <c r="Q306" s="21" t="s">
        <v>68</v>
      </c>
      <c r="R306" s="21"/>
      <c r="S306" s="21"/>
      <c r="T306" s="28"/>
      <c r="U306" s="24"/>
    </row>
    <row r="307" s="25" customFormat="true" ht="41.4" hidden="false" customHeight="false" outlineLevel="0" collapsed="false">
      <c r="A307" s="36" t="s">
        <v>835</v>
      </c>
      <c r="B307" s="26" t="s">
        <v>836</v>
      </c>
      <c r="C307" s="14" t="s">
        <v>64</v>
      </c>
      <c r="D307" s="15" t="n">
        <v>4</v>
      </c>
      <c r="E307" s="27" t="n">
        <v>880</v>
      </c>
      <c r="F307" s="16" t="n">
        <v>1760</v>
      </c>
      <c r="G307" s="15" t="s">
        <v>36</v>
      </c>
      <c r="H307" s="17" t="s">
        <v>25</v>
      </c>
      <c r="I307" s="18" t="s">
        <v>26</v>
      </c>
      <c r="J307" s="15" t="n">
        <v>2013</v>
      </c>
      <c r="K307" s="19" t="s">
        <v>65</v>
      </c>
      <c r="L307" s="15" t="s">
        <v>28</v>
      </c>
      <c r="M307" s="15" t="s">
        <v>33</v>
      </c>
      <c r="N307" s="17" t="s">
        <v>83</v>
      </c>
      <c r="O307" s="15"/>
      <c r="P307" s="15"/>
      <c r="Q307" s="21" t="s">
        <v>68</v>
      </c>
      <c r="R307" s="21"/>
      <c r="S307" s="21"/>
      <c r="T307" s="28"/>
      <c r="U307" s="24"/>
    </row>
    <row r="308" s="25" customFormat="true" ht="41.4" hidden="false" customHeight="false" outlineLevel="0" collapsed="false">
      <c r="A308" s="36" t="s">
        <v>837</v>
      </c>
      <c r="B308" s="26" t="s">
        <v>838</v>
      </c>
      <c r="C308" s="14" t="s">
        <v>64</v>
      </c>
      <c r="D308" s="15" t="n">
        <v>4</v>
      </c>
      <c r="E308" s="27" t="n">
        <v>880</v>
      </c>
      <c r="F308" s="16" t="n">
        <v>1760</v>
      </c>
      <c r="G308" s="15" t="s">
        <v>36</v>
      </c>
      <c r="H308" s="17" t="s">
        <v>25</v>
      </c>
      <c r="I308" s="18" t="s">
        <v>26</v>
      </c>
      <c r="J308" s="15" t="n">
        <v>2013</v>
      </c>
      <c r="K308" s="19" t="s">
        <v>65</v>
      </c>
      <c r="L308" s="15" t="s">
        <v>28</v>
      </c>
      <c r="M308" s="15" t="s">
        <v>33</v>
      </c>
      <c r="N308" s="17" t="s">
        <v>184</v>
      </c>
      <c r="O308" s="15"/>
      <c r="P308" s="15"/>
      <c r="Q308" s="21" t="s">
        <v>68</v>
      </c>
      <c r="R308" s="21"/>
      <c r="S308" s="21"/>
      <c r="T308" s="28"/>
      <c r="U308" s="24"/>
    </row>
    <row r="309" s="25" customFormat="true" ht="41.4" hidden="false" customHeight="false" outlineLevel="0" collapsed="false">
      <c r="A309" s="36" t="s">
        <v>839</v>
      </c>
      <c r="B309" s="26" t="s">
        <v>840</v>
      </c>
      <c r="C309" s="14" t="s">
        <v>64</v>
      </c>
      <c r="D309" s="15" t="n">
        <v>4</v>
      </c>
      <c r="E309" s="27" t="n">
        <v>880</v>
      </c>
      <c r="F309" s="16" t="n">
        <v>1760</v>
      </c>
      <c r="G309" s="15" t="s">
        <v>36</v>
      </c>
      <c r="H309" s="17" t="s">
        <v>25</v>
      </c>
      <c r="I309" s="18" t="s">
        <v>26</v>
      </c>
      <c r="J309" s="15" t="n">
        <v>2013</v>
      </c>
      <c r="K309" s="19" t="s">
        <v>65</v>
      </c>
      <c r="L309" s="15" t="s">
        <v>28</v>
      </c>
      <c r="M309" s="15" t="s">
        <v>33</v>
      </c>
      <c r="N309" s="17" t="s">
        <v>543</v>
      </c>
      <c r="O309" s="15"/>
      <c r="P309" s="15"/>
      <c r="Q309" s="21" t="s">
        <v>68</v>
      </c>
      <c r="R309" s="21"/>
      <c r="S309" s="21"/>
      <c r="T309" s="28"/>
      <c r="U309" s="24"/>
    </row>
    <row r="310" s="25" customFormat="true" ht="41.4" hidden="false" customHeight="false" outlineLevel="0" collapsed="false">
      <c r="A310" s="36" t="s">
        <v>841</v>
      </c>
      <c r="B310" s="26" t="s">
        <v>842</v>
      </c>
      <c r="C310" s="14" t="s">
        <v>64</v>
      </c>
      <c r="D310" s="15" t="n">
        <v>4</v>
      </c>
      <c r="E310" s="27" t="n">
        <v>880</v>
      </c>
      <c r="F310" s="16" t="n">
        <v>1760</v>
      </c>
      <c r="G310" s="15" t="s">
        <v>36</v>
      </c>
      <c r="H310" s="17" t="s">
        <v>25</v>
      </c>
      <c r="I310" s="18" t="s">
        <v>26</v>
      </c>
      <c r="J310" s="15" t="n">
        <v>2013</v>
      </c>
      <c r="K310" s="19" t="s">
        <v>65</v>
      </c>
      <c r="L310" s="15" t="s">
        <v>28</v>
      </c>
      <c r="M310" s="15" t="s">
        <v>33</v>
      </c>
      <c r="N310" s="17" t="s">
        <v>72</v>
      </c>
      <c r="O310" s="15" t="s">
        <v>54</v>
      </c>
      <c r="P310" s="15"/>
      <c r="Q310" s="21" t="s">
        <v>68</v>
      </c>
      <c r="R310" s="21"/>
      <c r="S310" s="21"/>
      <c r="T310" s="28"/>
      <c r="U310" s="24"/>
    </row>
    <row r="311" s="25" customFormat="true" ht="41.4" hidden="false" customHeight="false" outlineLevel="0" collapsed="false">
      <c r="A311" s="36" t="s">
        <v>843</v>
      </c>
      <c r="B311" s="26" t="s">
        <v>844</v>
      </c>
      <c r="C311" s="14" t="s">
        <v>64</v>
      </c>
      <c r="D311" s="15" t="n">
        <v>4</v>
      </c>
      <c r="E311" s="27" t="n">
        <v>880</v>
      </c>
      <c r="F311" s="16" t="n">
        <v>1760</v>
      </c>
      <c r="G311" s="15" t="s">
        <v>36</v>
      </c>
      <c r="H311" s="17" t="s">
        <v>25</v>
      </c>
      <c r="I311" s="18" t="s">
        <v>26</v>
      </c>
      <c r="J311" s="15" t="n">
        <v>2013</v>
      </c>
      <c r="K311" s="19" t="s">
        <v>65</v>
      </c>
      <c r="L311" s="15" t="s">
        <v>28</v>
      </c>
      <c r="M311" s="15" t="s">
        <v>33</v>
      </c>
      <c r="N311" s="17" t="s">
        <v>671</v>
      </c>
      <c r="O311" s="15" t="s">
        <v>54</v>
      </c>
      <c r="P311" s="15"/>
      <c r="Q311" s="21" t="s">
        <v>68</v>
      </c>
      <c r="R311" s="21"/>
      <c r="S311" s="21"/>
      <c r="T311" s="28"/>
      <c r="U311" s="24"/>
    </row>
    <row r="312" s="25" customFormat="true" ht="41.4" hidden="false" customHeight="false" outlineLevel="0" collapsed="false">
      <c r="A312" s="36" t="s">
        <v>845</v>
      </c>
      <c r="B312" s="26" t="s">
        <v>846</v>
      </c>
      <c r="C312" s="14" t="s">
        <v>64</v>
      </c>
      <c r="D312" s="15" t="n">
        <v>4</v>
      </c>
      <c r="E312" s="27" t="n">
        <v>880</v>
      </c>
      <c r="F312" s="16" t="n">
        <v>1760</v>
      </c>
      <c r="G312" s="15" t="s">
        <v>36</v>
      </c>
      <c r="H312" s="17" t="s">
        <v>25</v>
      </c>
      <c r="I312" s="18" t="s">
        <v>26</v>
      </c>
      <c r="J312" s="15" t="n">
        <v>2013</v>
      </c>
      <c r="K312" s="19" t="s">
        <v>65</v>
      </c>
      <c r="L312" s="15" t="s">
        <v>28</v>
      </c>
      <c r="M312" s="15" t="s">
        <v>33</v>
      </c>
      <c r="N312" s="17" t="s">
        <v>45</v>
      </c>
      <c r="O312" s="15" t="s">
        <v>54</v>
      </c>
      <c r="P312" s="15"/>
      <c r="Q312" s="21" t="s">
        <v>68</v>
      </c>
      <c r="R312" s="21"/>
      <c r="S312" s="21"/>
      <c r="T312" s="28"/>
      <c r="U312" s="24"/>
    </row>
    <row r="313" s="25" customFormat="true" ht="41.4" hidden="false" customHeight="false" outlineLevel="0" collapsed="false">
      <c r="A313" s="36" t="s">
        <v>847</v>
      </c>
      <c r="B313" s="26" t="s">
        <v>848</v>
      </c>
      <c r="C313" s="14" t="s">
        <v>64</v>
      </c>
      <c r="D313" s="15" t="n">
        <v>4</v>
      </c>
      <c r="E313" s="27" t="n">
        <v>880</v>
      </c>
      <c r="F313" s="16" t="n">
        <v>1760</v>
      </c>
      <c r="G313" s="15" t="s">
        <v>36</v>
      </c>
      <c r="H313" s="17" t="s">
        <v>25</v>
      </c>
      <c r="I313" s="18" t="s">
        <v>26</v>
      </c>
      <c r="J313" s="15" t="n">
        <v>2013</v>
      </c>
      <c r="K313" s="19" t="s">
        <v>65</v>
      </c>
      <c r="L313" s="15" t="s">
        <v>28</v>
      </c>
      <c r="M313" s="15" t="s">
        <v>33</v>
      </c>
      <c r="N313" s="17" t="s">
        <v>682</v>
      </c>
      <c r="O313" s="15"/>
      <c r="P313" s="15"/>
      <c r="Q313" s="21" t="s">
        <v>68</v>
      </c>
      <c r="R313" s="21"/>
      <c r="S313" s="21"/>
      <c r="T313" s="28"/>
      <c r="U313" s="24"/>
    </row>
    <row r="314" s="25" customFormat="true" ht="41.4" hidden="false" customHeight="false" outlineLevel="0" collapsed="false">
      <c r="A314" s="36" t="s">
        <v>849</v>
      </c>
      <c r="B314" s="26" t="s">
        <v>850</v>
      </c>
      <c r="C314" s="14" t="s">
        <v>64</v>
      </c>
      <c r="D314" s="15" t="n">
        <v>4</v>
      </c>
      <c r="E314" s="27" t="n">
        <v>880</v>
      </c>
      <c r="F314" s="16" t="n">
        <v>1760</v>
      </c>
      <c r="G314" s="15" t="s">
        <v>36</v>
      </c>
      <c r="H314" s="17" t="s">
        <v>25</v>
      </c>
      <c r="I314" s="18" t="s">
        <v>26</v>
      </c>
      <c r="J314" s="15" t="n">
        <v>2013</v>
      </c>
      <c r="K314" s="19" t="s">
        <v>65</v>
      </c>
      <c r="L314" s="15" t="s">
        <v>28</v>
      </c>
      <c r="M314" s="15" t="s">
        <v>33</v>
      </c>
      <c r="N314" s="17"/>
      <c r="O314" s="15" t="s">
        <v>54</v>
      </c>
      <c r="P314" s="15"/>
      <c r="Q314" s="21" t="s">
        <v>68</v>
      </c>
      <c r="R314" s="21"/>
      <c r="S314" s="21"/>
      <c r="T314" s="28"/>
      <c r="U314" s="24"/>
    </row>
    <row r="315" s="25" customFormat="true" ht="41.4" hidden="false" customHeight="false" outlineLevel="0" collapsed="false">
      <c r="A315" s="36" t="s">
        <v>851</v>
      </c>
      <c r="B315" s="26" t="s">
        <v>852</v>
      </c>
      <c r="C315" s="14" t="s">
        <v>64</v>
      </c>
      <c r="D315" s="15" t="n">
        <v>4</v>
      </c>
      <c r="E315" s="27" t="n">
        <v>880</v>
      </c>
      <c r="F315" s="16" t="n">
        <v>1760</v>
      </c>
      <c r="G315" s="15" t="s">
        <v>36</v>
      </c>
      <c r="H315" s="17" t="s">
        <v>25</v>
      </c>
      <c r="I315" s="18" t="s">
        <v>26</v>
      </c>
      <c r="J315" s="15" t="n">
        <v>2013</v>
      </c>
      <c r="K315" s="19" t="s">
        <v>65</v>
      </c>
      <c r="L315" s="15" t="s">
        <v>28</v>
      </c>
      <c r="M315" s="15" t="s">
        <v>33</v>
      </c>
      <c r="N315" s="17" t="s">
        <v>719</v>
      </c>
      <c r="O315" s="15" t="s">
        <v>54</v>
      </c>
      <c r="P315" s="15"/>
      <c r="Q315" s="21" t="s">
        <v>68</v>
      </c>
      <c r="R315" s="21"/>
      <c r="S315" s="21"/>
      <c r="T315" s="28"/>
      <c r="U315" s="24"/>
    </row>
    <row r="316" s="25" customFormat="true" ht="41.4" hidden="false" customHeight="false" outlineLevel="0" collapsed="false">
      <c r="A316" s="36" t="s">
        <v>853</v>
      </c>
      <c r="B316" s="26" t="s">
        <v>854</v>
      </c>
      <c r="C316" s="14" t="s">
        <v>64</v>
      </c>
      <c r="D316" s="15" t="n">
        <v>4</v>
      </c>
      <c r="E316" s="27" t="n">
        <v>880</v>
      </c>
      <c r="F316" s="16" t="n">
        <v>1760</v>
      </c>
      <c r="G316" s="15" t="s">
        <v>36</v>
      </c>
      <c r="H316" s="17" t="s">
        <v>25</v>
      </c>
      <c r="I316" s="18" t="s">
        <v>26</v>
      </c>
      <c r="J316" s="15" t="n">
        <v>2013</v>
      </c>
      <c r="K316" s="19" t="s">
        <v>65</v>
      </c>
      <c r="L316" s="15" t="s">
        <v>28</v>
      </c>
      <c r="M316" s="15" t="s">
        <v>33</v>
      </c>
      <c r="N316" s="17" t="s">
        <v>53</v>
      </c>
      <c r="O316" s="15" t="s">
        <v>54</v>
      </c>
      <c r="P316" s="15"/>
      <c r="Q316" s="21" t="s">
        <v>68</v>
      </c>
      <c r="R316" s="21"/>
      <c r="S316" s="21"/>
      <c r="T316" s="28"/>
      <c r="U316" s="24"/>
    </row>
    <row r="317" s="25" customFormat="true" ht="41.4" hidden="false" customHeight="false" outlineLevel="0" collapsed="false">
      <c r="A317" s="36" t="s">
        <v>855</v>
      </c>
      <c r="B317" s="26" t="s">
        <v>856</v>
      </c>
      <c r="C317" s="14" t="s">
        <v>64</v>
      </c>
      <c r="D317" s="15" t="n">
        <v>4</v>
      </c>
      <c r="E317" s="27" t="n">
        <v>880</v>
      </c>
      <c r="F317" s="16" t="n">
        <v>1760</v>
      </c>
      <c r="G317" s="15" t="s">
        <v>36</v>
      </c>
      <c r="H317" s="17" t="s">
        <v>25</v>
      </c>
      <c r="I317" s="18" t="s">
        <v>26</v>
      </c>
      <c r="J317" s="15" t="n">
        <v>2013</v>
      </c>
      <c r="K317" s="19" t="s">
        <v>65</v>
      </c>
      <c r="L317" s="15" t="s">
        <v>28</v>
      </c>
      <c r="M317" s="15" t="s">
        <v>33</v>
      </c>
      <c r="N317" s="17" t="s">
        <v>160</v>
      </c>
      <c r="O317" s="15" t="s">
        <v>54</v>
      </c>
      <c r="P317" s="15"/>
      <c r="Q317" s="21" t="s">
        <v>68</v>
      </c>
      <c r="R317" s="21"/>
      <c r="S317" s="21"/>
      <c r="T317" s="28"/>
      <c r="U317" s="24"/>
    </row>
    <row r="318" s="25" customFormat="true" ht="41.4" hidden="false" customHeight="false" outlineLevel="0" collapsed="false">
      <c r="A318" s="36" t="s">
        <v>857</v>
      </c>
      <c r="B318" s="26"/>
      <c r="C318" s="14" t="s">
        <v>858</v>
      </c>
      <c r="D318" s="15" t="n">
        <v>6</v>
      </c>
      <c r="E318" s="27" t="n">
        <f aca="false">F318/2</f>
        <v>50</v>
      </c>
      <c r="F318" s="16" t="n">
        <v>100</v>
      </c>
      <c r="G318" s="15" t="s">
        <v>36</v>
      </c>
      <c r="H318" s="17" t="s">
        <v>25</v>
      </c>
      <c r="I318" s="18" t="s">
        <v>26</v>
      </c>
      <c r="J318" s="15" t="n">
        <v>2023</v>
      </c>
      <c r="K318" s="19" t="s">
        <v>617</v>
      </c>
      <c r="L318" s="15" t="s">
        <v>28</v>
      </c>
      <c r="M318" s="15" t="s">
        <v>33</v>
      </c>
      <c r="N318" s="17" t="s">
        <v>83</v>
      </c>
      <c r="O318" s="15" t="s">
        <v>46</v>
      </c>
      <c r="P318" s="15"/>
      <c r="Q318" s="21"/>
      <c r="R318" s="21"/>
      <c r="S318" s="21"/>
      <c r="T318" s="28"/>
      <c r="U318" s="24"/>
    </row>
    <row r="319" s="25" customFormat="true" ht="41.4" hidden="false" customHeight="false" outlineLevel="0" collapsed="false">
      <c r="A319" s="36" t="s">
        <v>859</v>
      </c>
      <c r="B319" s="26" t="s">
        <v>860</v>
      </c>
      <c r="C319" s="14"/>
      <c r="D319" s="15" t="n">
        <v>6</v>
      </c>
      <c r="E319" s="27" t="n">
        <v>477</v>
      </c>
      <c r="F319" s="16" t="n">
        <v>954</v>
      </c>
      <c r="G319" s="15" t="s">
        <v>36</v>
      </c>
      <c r="H319" s="17" t="s">
        <v>25</v>
      </c>
      <c r="I319" s="18" t="s">
        <v>26</v>
      </c>
      <c r="J319" s="15" t="n">
        <v>2012</v>
      </c>
      <c r="K319" s="19" t="s">
        <v>861</v>
      </c>
      <c r="L319" s="15" t="s">
        <v>28</v>
      </c>
      <c r="M319" s="15" t="s">
        <v>33</v>
      </c>
      <c r="N319" s="17" t="s">
        <v>45</v>
      </c>
      <c r="O319" s="15"/>
      <c r="P319" s="15"/>
      <c r="Q319" s="21" t="s">
        <v>862</v>
      </c>
      <c r="R319" s="21"/>
      <c r="S319" s="21"/>
      <c r="T319" s="28"/>
      <c r="U319" s="24"/>
    </row>
    <row r="320" s="25" customFormat="true" ht="41.4" hidden="false" customHeight="false" outlineLevel="0" collapsed="false">
      <c r="A320" s="36" t="s">
        <v>863</v>
      </c>
      <c r="B320" s="26"/>
      <c r="C320" s="14" t="s">
        <v>864</v>
      </c>
      <c r="D320" s="15" t="n">
        <v>12</v>
      </c>
      <c r="E320" s="27" t="n">
        <f aca="false">F320/2</f>
        <v>50</v>
      </c>
      <c r="F320" s="16" t="n">
        <v>100</v>
      </c>
      <c r="G320" s="15" t="s">
        <v>36</v>
      </c>
      <c r="H320" s="17" t="s">
        <v>25</v>
      </c>
      <c r="I320" s="18" t="s">
        <v>26</v>
      </c>
      <c r="J320" s="15" t="n">
        <v>2023</v>
      </c>
      <c r="K320" s="19" t="s">
        <v>553</v>
      </c>
      <c r="L320" s="15" t="s">
        <v>28</v>
      </c>
      <c r="M320" s="15" t="s">
        <v>33</v>
      </c>
      <c r="N320" s="17" t="s">
        <v>865</v>
      </c>
      <c r="O320" s="15" t="s">
        <v>203</v>
      </c>
      <c r="P320" s="15"/>
      <c r="Q320" s="21"/>
      <c r="R320" s="21"/>
      <c r="S320" s="21"/>
      <c r="T320" s="28"/>
      <c r="U320" s="24"/>
    </row>
    <row r="321" s="25" customFormat="true" ht="41.4" hidden="false" customHeight="false" outlineLevel="0" collapsed="false">
      <c r="A321" s="36" t="s">
        <v>866</v>
      </c>
      <c r="B321" s="26"/>
      <c r="C321" s="14" t="s">
        <v>864</v>
      </c>
      <c r="D321" s="15" t="n">
        <v>4</v>
      </c>
      <c r="E321" s="16" t="n">
        <f aca="false">F321/2</f>
        <v>50</v>
      </c>
      <c r="F321" s="16" t="n">
        <v>100</v>
      </c>
      <c r="G321" s="15" t="s">
        <v>36</v>
      </c>
      <c r="H321" s="17" t="s">
        <v>25</v>
      </c>
      <c r="I321" s="18" t="s">
        <v>26</v>
      </c>
      <c r="J321" s="15" t="n">
        <v>2025</v>
      </c>
      <c r="K321" s="19" t="s">
        <v>553</v>
      </c>
      <c r="L321" s="15" t="s">
        <v>28</v>
      </c>
      <c r="M321" s="15" t="s">
        <v>33</v>
      </c>
      <c r="N321" s="17"/>
      <c r="O321" s="15"/>
      <c r="P321" s="15"/>
      <c r="Q321" s="21"/>
      <c r="R321" s="21"/>
      <c r="S321" s="21"/>
      <c r="T321" s="28"/>
      <c r="U321" s="24"/>
    </row>
    <row r="322" s="25" customFormat="true" ht="41.4" hidden="false" customHeight="false" outlineLevel="0" collapsed="false">
      <c r="A322" s="36" t="s">
        <v>867</v>
      </c>
      <c r="B322" s="26"/>
      <c r="C322" s="14" t="s">
        <v>864</v>
      </c>
      <c r="D322" s="15" t="n">
        <v>6</v>
      </c>
      <c r="E322" s="27" t="n">
        <f aca="false">F322/2</f>
        <v>50</v>
      </c>
      <c r="F322" s="16" t="n">
        <v>100</v>
      </c>
      <c r="G322" s="15" t="s">
        <v>36</v>
      </c>
      <c r="H322" s="17" t="s">
        <v>25</v>
      </c>
      <c r="I322" s="18" t="s">
        <v>26</v>
      </c>
      <c r="J322" s="15" t="n">
        <v>2023</v>
      </c>
      <c r="K322" s="19" t="s">
        <v>553</v>
      </c>
      <c r="L322" s="15" t="s">
        <v>28</v>
      </c>
      <c r="M322" s="15" t="s">
        <v>33</v>
      </c>
      <c r="N322" s="17" t="s">
        <v>175</v>
      </c>
      <c r="O322" s="15" t="s">
        <v>46</v>
      </c>
      <c r="P322" s="15"/>
      <c r="Q322" s="21"/>
      <c r="R322" s="21"/>
      <c r="S322" s="21"/>
      <c r="T322" s="28"/>
      <c r="U322" s="24"/>
    </row>
    <row r="323" s="25" customFormat="true" ht="41.4" hidden="false" customHeight="false" outlineLevel="0" collapsed="false">
      <c r="A323" s="36" t="s">
        <v>868</v>
      </c>
      <c r="B323" s="26"/>
      <c r="C323" s="14" t="s">
        <v>864</v>
      </c>
      <c r="D323" s="15" t="n">
        <v>4</v>
      </c>
      <c r="E323" s="27" t="n">
        <f aca="false">F323/2</f>
        <v>50</v>
      </c>
      <c r="F323" s="16" t="n">
        <v>100</v>
      </c>
      <c r="G323" s="15" t="s">
        <v>36</v>
      </c>
      <c r="H323" s="17" t="s">
        <v>25</v>
      </c>
      <c r="I323" s="18" t="s">
        <v>26</v>
      </c>
      <c r="J323" s="15" t="n">
        <v>2023</v>
      </c>
      <c r="K323" s="19" t="s">
        <v>553</v>
      </c>
      <c r="L323" s="15" t="s">
        <v>28</v>
      </c>
      <c r="M323" s="15" t="s">
        <v>33</v>
      </c>
      <c r="N323" s="17" t="s">
        <v>208</v>
      </c>
      <c r="O323" s="15" t="s">
        <v>203</v>
      </c>
      <c r="P323" s="15"/>
      <c r="Q323" s="21"/>
      <c r="R323" s="21"/>
      <c r="S323" s="21"/>
      <c r="T323" s="28"/>
      <c r="U323" s="24"/>
    </row>
    <row r="324" s="25" customFormat="true" ht="41.4" hidden="false" customHeight="false" outlineLevel="0" collapsed="false">
      <c r="A324" s="36" t="s">
        <v>869</v>
      </c>
      <c r="B324" s="26"/>
      <c r="C324" s="14" t="s">
        <v>864</v>
      </c>
      <c r="D324" s="15" t="n">
        <v>6</v>
      </c>
      <c r="E324" s="16" t="n">
        <f aca="false">F324/2</f>
        <v>50</v>
      </c>
      <c r="F324" s="16" t="n">
        <v>100</v>
      </c>
      <c r="G324" s="15" t="s">
        <v>36</v>
      </c>
      <c r="H324" s="17" t="s">
        <v>25</v>
      </c>
      <c r="I324" s="18" t="s">
        <v>26</v>
      </c>
      <c r="J324" s="15" t="n">
        <v>2025</v>
      </c>
      <c r="K324" s="19" t="s">
        <v>553</v>
      </c>
      <c r="L324" s="15" t="s">
        <v>28</v>
      </c>
      <c r="M324" s="15" t="s">
        <v>33</v>
      </c>
      <c r="N324" s="17"/>
      <c r="O324" s="15"/>
      <c r="P324" s="15"/>
      <c r="Q324" s="21"/>
      <c r="R324" s="21"/>
      <c r="S324" s="21"/>
      <c r="T324" s="28"/>
      <c r="U324" s="24"/>
    </row>
    <row r="325" s="25" customFormat="true" ht="41.4" hidden="false" customHeight="false" outlineLevel="0" collapsed="false">
      <c r="A325" s="36" t="s">
        <v>870</v>
      </c>
      <c r="B325" s="26"/>
      <c r="C325" s="14" t="s">
        <v>864</v>
      </c>
      <c r="D325" s="15" t="n">
        <v>4</v>
      </c>
      <c r="E325" s="27" t="n">
        <f aca="false">F325/2</f>
        <v>50</v>
      </c>
      <c r="F325" s="16" t="n">
        <v>100</v>
      </c>
      <c r="G325" s="15" t="s">
        <v>36</v>
      </c>
      <c r="H325" s="17" t="s">
        <v>25</v>
      </c>
      <c r="I325" s="18" t="s">
        <v>26</v>
      </c>
      <c r="J325" s="15" t="n">
        <v>2023</v>
      </c>
      <c r="K325" s="19" t="s">
        <v>553</v>
      </c>
      <c r="L325" s="15" t="s">
        <v>28</v>
      </c>
      <c r="M325" s="15" t="s">
        <v>33</v>
      </c>
      <c r="N325" s="17" t="s">
        <v>72</v>
      </c>
      <c r="O325" s="15" t="s">
        <v>46</v>
      </c>
      <c r="P325" s="15"/>
      <c r="Q325" s="21"/>
      <c r="R325" s="21"/>
      <c r="S325" s="21"/>
      <c r="T325" s="28"/>
      <c r="U325" s="24"/>
    </row>
    <row r="326" s="25" customFormat="true" ht="41.4" hidden="false" customHeight="false" outlineLevel="0" collapsed="false">
      <c r="A326" s="36" t="s">
        <v>871</v>
      </c>
      <c r="B326" s="26"/>
      <c r="C326" s="14" t="s">
        <v>864</v>
      </c>
      <c r="D326" s="15" t="n">
        <v>4</v>
      </c>
      <c r="E326" s="16" t="n">
        <f aca="false">F326/2</f>
        <v>50</v>
      </c>
      <c r="F326" s="16" t="n">
        <v>100</v>
      </c>
      <c r="G326" s="15" t="s">
        <v>36</v>
      </c>
      <c r="H326" s="17" t="s">
        <v>25</v>
      </c>
      <c r="I326" s="18" t="s">
        <v>26</v>
      </c>
      <c r="J326" s="15" t="n">
        <v>2025</v>
      </c>
      <c r="K326" s="19" t="s">
        <v>553</v>
      </c>
      <c r="L326" s="15" t="s">
        <v>28</v>
      </c>
      <c r="M326" s="15" t="s">
        <v>33</v>
      </c>
      <c r="N326" s="17"/>
      <c r="O326" s="15"/>
      <c r="P326" s="15"/>
      <c r="Q326" s="21"/>
      <c r="R326" s="21"/>
      <c r="S326" s="21"/>
      <c r="T326" s="28"/>
      <c r="U326" s="24"/>
    </row>
    <row r="327" s="25" customFormat="true" ht="41.4" hidden="false" customHeight="false" outlineLevel="0" collapsed="false">
      <c r="A327" s="36" t="s">
        <v>872</v>
      </c>
      <c r="B327" s="26"/>
      <c r="C327" s="14" t="s">
        <v>864</v>
      </c>
      <c r="D327" s="15" t="n">
        <v>4</v>
      </c>
      <c r="E327" s="27" t="n">
        <f aca="false">F327/2</f>
        <v>50</v>
      </c>
      <c r="F327" s="16" t="n">
        <v>100</v>
      </c>
      <c r="G327" s="15" t="s">
        <v>36</v>
      </c>
      <c r="H327" s="17" t="s">
        <v>25</v>
      </c>
      <c r="I327" s="18" t="s">
        <v>26</v>
      </c>
      <c r="J327" s="15" t="n">
        <v>2023</v>
      </c>
      <c r="K327" s="19" t="s">
        <v>553</v>
      </c>
      <c r="L327" s="15" t="s">
        <v>28</v>
      </c>
      <c r="M327" s="15" t="s">
        <v>33</v>
      </c>
      <c r="N327" s="17" t="s">
        <v>160</v>
      </c>
      <c r="O327" s="15" t="s">
        <v>46</v>
      </c>
      <c r="P327" s="15"/>
      <c r="Q327" s="21"/>
      <c r="R327" s="21"/>
      <c r="S327" s="21"/>
      <c r="T327" s="28"/>
      <c r="U327" s="24"/>
      <c r="V327" s="37"/>
      <c r="W327" s="37"/>
    </row>
    <row r="328" s="25" customFormat="true" ht="41.4" hidden="false" customHeight="false" outlineLevel="0" collapsed="false">
      <c r="A328" s="36" t="s">
        <v>873</v>
      </c>
      <c r="B328" s="26"/>
      <c r="C328" s="14" t="s">
        <v>864</v>
      </c>
      <c r="D328" s="15" t="n">
        <v>6</v>
      </c>
      <c r="E328" s="27" t="n">
        <f aca="false">F328/2</f>
        <v>50</v>
      </c>
      <c r="F328" s="16" t="n">
        <v>100</v>
      </c>
      <c r="G328" s="15" t="s">
        <v>36</v>
      </c>
      <c r="H328" s="17" t="s">
        <v>25</v>
      </c>
      <c r="I328" s="18" t="s">
        <v>26</v>
      </c>
      <c r="J328" s="15" t="n">
        <v>2023</v>
      </c>
      <c r="K328" s="19" t="s">
        <v>553</v>
      </c>
      <c r="L328" s="15" t="s">
        <v>28</v>
      </c>
      <c r="M328" s="15" t="s">
        <v>33</v>
      </c>
      <c r="N328" s="17" t="s">
        <v>865</v>
      </c>
      <c r="O328" s="15" t="s">
        <v>46</v>
      </c>
      <c r="P328" s="15"/>
      <c r="Q328" s="21"/>
      <c r="R328" s="21"/>
      <c r="S328" s="21"/>
      <c r="T328" s="28"/>
      <c r="U328" s="24"/>
    </row>
    <row r="329" s="25" customFormat="true" ht="41.4" hidden="false" customHeight="false" outlineLevel="0" collapsed="false">
      <c r="A329" s="36" t="s">
        <v>874</v>
      </c>
      <c r="B329" s="26"/>
      <c r="C329" s="14" t="s">
        <v>864</v>
      </c>
      <c r="D329" s="15" t="n">
        <v>4</v>
      </c>
      <c r="E329" s="16" t="n">
        <f aca="false">F329/2</f>
        <v>50</v>
      </c>
      <c r="F329" s="16" t="n">
        <v>100</v>
      </c>
      <c r="G329" s="15" t="s">
        <v>36</v>
      </c>
      <c r="H329" s="17" t="s">
        <v>25</v>
      </c>
      <c r="I329" s="18" t="s">
        <v>26</v>
      </c>
      <c r="J329" s="15" t="n">
        <v>2025</v>
      </c>
      <c r="K329" s="19" t="s">
        <v>553</v>
      </c>
      <c r="L329" s="15" t="s">
        <v>28</v>
      </c>
      <c r="M329" s="15" t="s">
        <v>33</v>
      </c>
      <c r="N329" s="17"/>
      <c r="O329" s="15"/>
      <c r="P329" s="15"/>
      <c r="Q329" s="21"/>
      <c r="R329" s="21"/>
      <c r="S329" s="21"/>
      <c r="T329" s="28"/>
      <c r="U329" s="24"/>
    </row>
    <row r="330" s="25" customFormat="true" ht="41.4" hidden="false" customHeight="false" outlineLevel="0" collapsed="false">
      <c r="A330" s="36" t="s">
        <v>875</v>
      </c>
      <c r="B330" s="26"/>
      <c r="C330" s="14" t="s">
        <v>864</v>
      </c>
      <c r="D330" s="15" t="n">
        <v>4</v>
      </c>
      <c r="E330" s="27" t="n">
        <f aca="false">F330/2</f>
        <v>50</v>
      </c>
      <c r="F330" s="16" t="n">
        <v>100</v>
      </c>
      <c r="G330" s="15" t="s">
        <v>36</v>
      </c>
      <c r="H330" s="17" t="s">
        <v>25</v>
      </c>
      <c r="I330" s="18" t="s">
        <v>26</v>
      </c>
      <c r="J330" s="15" t="n">
        <v>2023</v>
      </c>
      <c r="K330" s="19" t="s">
        <v>553</v>
      </c>
      <c r="L330" s="15" t="s">
        <v>28</v>
      </c>
      <c r="M330" s="15" t="s">
        <v>33</v>
      </c>
      <c r="N330" s="17" t="s">
        <v>53</v>
      </c>
      <c r="O330" s="15" t="s">
        <v>203</v>
      </c>
      <c r="P330" s="15"/>
      <c r="Q330" s="21"/>
      <c r="R330" s="21"/>
      <c r="S330" s="21"/>
      <c r="T330" s="28"/>
      <c r="U330" s="24"/>
    </row>
    <row r="331" s="25" customFormat="true" ht="41.4" hidden="false" customHeight="false" outlineLevel="0" collapsed="false">
      <c r="A331" s="36" t="s">
        <v>876</v>
      </c>
      <c r="B331" s="26" t="s">
        <v>877</v>
      </c>
      <c r="C331" s="14" t="s">
        <v>878</v>
      </c>
      <c r="D331" s="15" t="n">
        <v>12</v>
      </c>
      <c r="E331" s="27" t="n">
        <f aca="false">F331/2</f>
        <v>7200</v>
      </c>
      <c r="F331" s="16" t="n">
        <v>14400</v>
      </c>
      <c r="G331" s="15" t="s">
        <v>36</v>
      </c>
      <c r="H331" s="17" t="s">
        <v>25</v>
      </c>
      <c r="I331" s="18" t="s">
        <v>26</v>
      </c>
      <c r="J331" s="15" t="n">
        <v>2019</v>
      </c>
      <c r="K331" s="19" t="s">
        <v>27</v>
      </c>
      <c r="L331" s="15" t="s">
        <v>28</v>
      </c>
      <c r="M331" s="15" t="s">
        <v>33</v>
      </c>
      <c r="N331" s="20" t="s">
        <v>257</v>
      </c>
      <c r="O331" s="15"/>
      <c r="P331" s="15"/>
      <c r="Q331" s="21" t="s">
        <v>78</v>
      </c>
      <c r="R331" s="21"/>
      <c r="S331" s="21"/>
      <c r="T331" s="28"/>
      <c r="U331" s="34"/>
    </row>
    <row r="332" s="25" customFormat="true" ht="41.4" hidden="false" customHeight="false" outlineLevel="0" collapsed="false">
      <c r="A332" s="36" t="s">
        <v>879</v>
      </c>
      <c r="B332" s="26" t="s">
        <v>880</v>
      </c>
      <c r="C332" s="14"/>
      <c r="D332" s="15" t="n">
        <v>6</v>
      </c>
      <c r="E332" s="27" t="n">
        <f aca="false">F332/2</f>
        <v>687.5</v>
      </c>
      <c r="F332" s="16" t="n">
        <v>1375</v>
      </c>
      <c r="G332" s="15" t="s">
        <v>354</v>
      </c>
      <c r="H332" s="17" t="s">
        <v>25</v>
      </c>
      <c r="I332" s="18" t="s">
        <v>26</v>
      </c>
      <c r="J332" s="15" t="n">
        <v>2015</v>
      </c>
      <c r="K332" s="19" t="s">
        <v>52</v>
      </c>
      <c r="L332" s="15" t="s">
        <v>28</v>
      </c>
      <c r="M332" s="15" t="s">
        <v>33</v>
      </c>
      <c r="N332" s="17" t="s">
        <v>53</v>
      </c>
      <c r="O332" s="15" t="s">
        <v>54</v>
      </c>
      <c r="P332" s="15"/>
      <c r="Q332" s="21" t="s">
        <v>881</v>
      </c>
      <c r="R332" s="21"/>
      <c r="S332" s="21"/>
      <c r="T332" s="28"/>
      <c r="U332" s="24"/>
    </row>
    <row r="333" s="25" customFormat="true" ht="41.4" hidden="false" customHeight="false" outlineLevel="0" collapsed="false">
      <c r="A333" s="36" t="s">
        <v>882</v>
      </c>
      <c r="B333" s="26" t="s">
        <v>883</v>
      </c>
      <c r="C333" s="14" t="s">
        <v>884</v>
      </c>
      <c r="D333" s="15" t="n">
        <v>6</v>
      </c>
      <c r="E333" s="27" t="n">
        <v>50</v>
      </c>
      <c r="F333" s="16" t="n">
        <v>100</v>
      </c>
      <c r="G333" s="15" t="s">
        <v>36</v>
      </c>
      <c r="H333" s="17" t="s">
        <v>25</v>
      </c>
      <c r="I333" s="18" t="s">
        <v>26</v>
      </c>
      <c r="J333" s="15" t="n">
        <v>2015</v>
      </c>
      <c r="K333" s="19" t="s">
        <v>65</v>
      </c>
      <c r="L333" s="15" t="s">
        <v>28</v>
      </c>
      <c r="M333" s="15" t="s">
        <v>33</v>
      </c>
      <c r="N333" s="17" t="s">
        <v>83</v>
      </c>
      <c r="O333" s="15"/>
      <c r="P333" s="15"/>
      <c r="Q333" s="21" t="s">
        <v>302</v>
      </c>
      <c r="R333" s="21"/>
      <c r="S333" s="21"/>
      <c r="T333" s="28"/>
      <c r="U333" s="24"/>
    </row>
    <row r="334" s="25" customFormat="true" ht="41.4" hidden="false" customHeight="false" outlineLevel="0" collapsed="false">
      <c r="A334" s="36" t="s">
        <v>885</v>
      </c>
      <c r="B334" s="26" t="s">
        <v>886</v>
      </c>
      <c r="C334" s="14" t="s">
        <v>887</v>
      </c>
      <c r="D334" s="15" t="n">
        <v>12</v>
      </c>
      <c r="E334" s="27" t="n">
        <f aca="false">F334/2</f>
        <v>7560</v>
      </c>
      <c r="F334" s="16" t="n">
        <v>15120</v>
      </c>
      <c r="G334" s="15" t="s">
        <v>24</v>
      </c>
      <c r="H334" s="17" t="s">
        <v>25</v>
      </c>
      <c r="I334" s="18" t="s">
        <v>26</v>
      </c>
      <c r="J334" s="15" t="n">
        <v>2007</v>
      </c>
      <c r="K334" s="19" t="s">
        <v>27</v>
      </c>
      <c r="L334" s="15" t="s">
        <v>28</v>
      </c>
      <c r="M334" s="15" t="s">
        <v>33</v>
      </c>
      <c r="N334" s="17" t="s">
        <v>72</v>
      </c>
      <c r="O334" s="15"/>
      <c r="P334" s="15"/>
      <c r="Q334" s="21" t="s">
        <v>534</v>
      </c>
      <c r="R334" s="21"/>
      <c r="S334" s="21"/>
      <c r="T334" s="28"/>
      <c r="U334" s="24" t="s">
        <v>888</v>
      </c>
    </row>
    <row r="335" s="25" customFormat="true" ht="41.4" hidden="false" customHeight="false" outlineLevel="0" collapsed="false">
      <c r="A335" s="39" t="s">
        <v>889</v>
      </c>
      <c r="B335" s="26"/>
      <c r="C335" s="14" t="s">
        <v>264</v>
      </c>
      <c r="D335" s="15" t="n">
        <v>12</v>
      </c>
      <c r="E335" s="16" t="n">
        <f aca="false">F335/2</f>
        <v>51525.72</v>
      </c>
      <c r="F335" s="16" t="n">
        <f aca="false">110808*0.93</f>
        <v>103051.44</v>
      </c>
      <c r="G335" s="15" t="s">
        <v>36</v>
      </c>
      <c r="H335" s="17" t="s">
        <v>25</v>
      </c>
      <c r="I335" s="18" t="s">
        <v>26</v>
      </c>
      <c r="J335" s="15" t="n">
        <v>2024</v>
      </c>
      <c r="K335" s="19" t="s">
        <v>27</v>
      </c>
      <c r="L335" s="15" t="s">
        <v>28</v>
      </c>
      <c r="M335" s="15" t="s">
        <v>33</v>
      </c>
      <c r="N335" s="17" t="s">
        <v>270</v>
      </c>
      <c r="O335" s="15"/>
      <c r="P335" s="15"/>
      <c r="Q335" s="21"/>
      <c r="R335" s="21"/>
      <c r="S335" s="40"/>
      <c r="T335" s="31" t="n">
        <v>45880</v>
      </c>
      <c r="U335" s="41"/>
    </row>
    <row r="336" s="25" customFormat="true" ht="41.4" hidden="false" customHeight="false" outlineLevel="0" collapsed="false">
      <c r="A336" s="36" t="s">
        <v>890</v>
      </c>
      <c r="B336" s="26"/>
      <c r="C336" s="14" t="s">
        <v>579</v>
      </c>
      <c r="D336" s="15" t="n">
        <v>12</v>
      </c>
      <c r="E336" s="27" t="n">
        <f aca="false">F336/2</f>
        <v>7200</v>
      </c>
      <c r="F336" s="16" t="n">
        <f aca="false">12000*1.2</f>
        <v>14400</v>
      </c>
      <c r="G336" s="15" t="s">
        <v>36</v>
      </c>
      <c r="H336" s="17" t="s">
        <v>25</v>
      </c>
      <c r="I336" s="18" t="s">
        <v>26</v>
      </c>
      <c r="J336" s="15" t="n">
        <v>2023</v>
      </c>
      <c r="K336" s="19" t="s">
        <v>27</v>
      </c>
      <c r="L336" s="15" t="s">
        <v>28</v>
      </c>
      <c r="M336" s="15" t="s">
        <v>33</v>
      </c>
      <c r="N336" s="17"/>
      <c r="O336" s="15"/>
      <c r="P336" s="15"/>
      <c r="Q336" s="21"/>
      <c r="R336" s="21"/>
      <c r="S336" s="21"/>
      <c r="T336" s="28"/>
      <c r="U336" s="24"/>
    </row>
    <row r="337" s="25" customFormat="true" ht="41.4" hidden="false" customHeight="false" outlineLevel="0" collapsed="false">
      <c r="A337" s="36" t="s">
        <v>891</v>
      </c>
      <c r="B337" s="26"/>
      <c r="C337" s="14" t="s">
        <v>35</v>
      </c>
      <c r="D337" s="15" t="n">
        <v>4</v>
      </c>
      <c r="E337" s="27" t="n">
        <f aca="false">F337/2</f>
        <v>50</v>
      </c>
      <c r="F337" s="16" t="n">
        <v>100</v>
      </c>
      <c r="G337" s="15" t="s">
        <v>36</v>
      </c>
      <c r="H337" s="17" t="s">
        <v>25</v>
      </c>
      <c r="I337" s="18" t="s">
        <v>26</v>
      </c>
      <c r="J337" s="15" t="n">
        <v>2025</v>
      </c>
      <c r="K337" s="19" t="s">
        <v>37</v>
      </c>
      <c r="L337" s="15" t="s">
        <v>28</v>
      </c>
      <c r="M337" s="15"/>
      <c r="N337" s="17"/>
      <c r="O337" s="15"/>
      <c r="P337" s="15"/>
      <c r="Q337" s="21"/>
      <c r="R337" s="21"/>
      <c r="S337" s="21"/>
      <c r="T337" s="28"/>
      <c r="U337" s="24"/>
    </row>
    <row r="338" s="25" customFormat="true" ht="41.4" hidden="false" customHeight="false" outlineLevel="0" collapsed="false">
      <c r="A338" s="36" t="s">
        <v>892</v>
      </c>
      <c r="B338" s="26" t="s">
        <v>893</v>
      </c>
      <c r="C338" s="14" t="s">
        <v>894</v>
      </c>
      <c r="D338" s="15" t="n">
        <v>51</v>
      </c>
      <c r="E338" s="27" t="n">
        <f aca="false">F338/2</f>
        <v>300</v>
      </c>
      <c r="F338" s="16" t="n">
        <v>600</v>
      </c>
      <c r="G338" s="15" t="s">
        <v>24</v>
      </c>
      <c r="H338" s="17" t="s">
        <v>25</v>
      </c>
      <c r="I338" s="18" t="s">
        <v>26</v>
      </c>
      <c r="J338" s="15" t="n">
        <v>2023</v>
      </c>
      <c r="K338" s="19" t="s">
        <v>27</v>
      </c>
      <c r="L338" s="15" t="s">
        <v>103</v>
      </c>
      <c r="M338" s="15" t="s">
        <v>33</v>
      </c>
      <c r="N338" s="17" t="s">
        <v>343</v>
      </c>
      <c r="O338" s="15"/>
      <c r="P338" s="15"/>
      <c r="Q338" s="21" t="s">
        <v>344</v>
      </c>
      <c r="R338" s="21"/>
      <c r="S338" s="21"/>
      <c r="T338" s="28"/>
      <c r="U338" s="24" t="s">
        <v>895</v>
      </c>
    </row>
    <row r="339" s="25" customFormat="true" ht="41.4" hidden="false" customHeight="false" outlineLevel="0" collapsed="false">
      <c r="A339" s="36" t="s">
        <v>896</v>
      </c>
      <c r="B339" s="26" t="s">
        <v>893</v>
      </c>
      <c r="C339" s="14" t="s">
        <v>894</v>
      </c>
      <c r="D339" s="15" t="n">
        <v>247</v>
      </c>
      <c r="E339" s="27" t="n">
        <f aca="false">F339/2</f>
        <v>900</v>
      </c>
      <c r="F339" s="16" t="n">
        <v>1800</v>
      </c>
      <c r="G339" s="15" t="s">
        <v>24</v>
      </c>
      <c r="H339" s="17" t="s">
        <v>25</v>
      </c>
      <c r="I339" s="18" t="s">
        <v>26</v>
      </c>
      <c r="J339" s="15" t="n">
        <v>2000</v>
      </c>
      <c r="K339" s="19" t="s">
        <v>27</v>
      </c>
      <c r="L339" s="15" t="s">
        <v>103</v>
      </c>
      <c r="M339" s="15" t="s">
        <v>33</v>
      </c>
      <c r="N339" s="17" t="s">
        <v>343</v>
      </c>
      <c r="O339" s="15"/>
      <c r="P339" s="15"/>
      <c r="Q339" s="21" t="s">
        <v>344</v>
      </c>
      <c r="R339" s="21"/>
      <c r="S339" s="21"/>
      <c r="T339" s="28"/>
      <c r="U339" s="24" t="s">
        <v>895</v>
      </c>
    </row>
    <row r="340" s="25" customFormat="true" ht="41.4" hidden="false" customHeight="false" outlineLevel="0" collapsed="false">
      <c r="A340" s="36" t="s">
        <v>897</v>
      </c>
      <c r="B340" s="26"/>
      <c r="C340" s="14" t="s">
        <v>122</v>
      </c>
      <c r="D340" s="15" t="n">
        <v>12</v>
      </c>
      <c r="E340" s="27" t="n">
        <v>14190</v>
      </c>
      <c r="F340" s="16" t="n">
        <v>28380</v>
      </c>
      <c r="G340" s="15" t="s">
        <v>36</v>
      </c>
      <c r="H340" s="17" t="s">
        <v>25</v>
      </c>
      <c r="I340" s="18" t="s">
        <v>26</v>
      </c>
      <c r="J340" s="15" t="n">
        <v>2025</v>
      </c>
      <c r="K340" s="19" t="s">
        <v>27</v>
      </c>
      <c r="L340" s="15" t="s">
        <v>28</v>
      </c>
      <c r="M340" s="15" t="s">
        <v>33</v>
      </c>
      <c r="N340" s="17"/>
      <c r="O340" s="15"/>
      <c r="P340" s="15"/>
      <c r="Q340" s="21"/>
      <c r="R340" s="21"/>
      <c r="S340" s="21"/>
      <c r="T340" s="28"/>
      <c r="U340" s="24"/>
    </row>
    <row r="341" s="25" customFormat="true" ht="41.4" hidden="false" customHeight="false" outlineLevel="0" collapsed="false">
      <c r="A341" s="36" t="s">
        <v>898</v>
      </c>
      <c r="B341" s="26" t="s">
        <v>899</v>
      </c>
      <c r="C341" s="14" t="s">
        <v>122</v>
      </c>
      <c r="D341" s="15" t="n">
        <v>12</v>
      </c>
      <c r="E341" s="27" t="n">
        <v>23628</v>
      </c>
      <c r="F341" s="16" t="n">
        <v>39204</v>
      </c>
      <c r="G341" s="15" t="s">
        <v>36</v>
      </c>
      <c r="H341" s="17" t="s">
        <v>25</v>
      </c>
      <c r="I341" s="18" t="s">
        <v>26</v>
      </c>
      <c r="J341" s="15" t="n">
        <v>2017</v>
      </c>
      <c r="K341" s="19" t="s">
        <v>27</v>
      </c>
      <c r="L341" s="15" t="s">
        <v>28</v>
      </c>
      <c r="M341" s="15" t="s">
        <v>33</v>
      </c>
      <c r="N341" s="17" t="s">
        <v>96</v>
      </c>
      <c r="O341" s="15"/>
      <c r="P341" s="15"/>
      <c r="Q341" s="21"/>
      <c r="R341" s="21"/>
      <c r="S341" s="21"/>
      <c r="T341" s="28"/>
      <c r="U341" s="24"/>
    </row>
    <row r="342" s="25" customFormat="true" ht="41.4" hidden="false" customHeight="false" outlineLevel="0" collapsed="false">
      <c r="A342" s="36" t="s">
        <v>900</v>
      </c>
      <c r="B342" s="26"/>
      <c r="C342" s="14" t="s">
        <v>107</v>
      </c>
      <c r="D342" s="15" t="n">
        <v>4</v>
      </c>
      <c r="E342" s="27" t="n">
        <f aca="false">F342/2</f>
        <v>857.5</v>
      </c>
      <c r="F342" s="16" t="n">
        <v>1715</v>
      </c>
      <c r="G342" s="15" t="s">
        <v>36</v>
      </c>
      <c r="H342" s="17" t="s">
        <v>25</v>
      </c>
      <c r="I342" s="18" t="s">
        <v>26</v>
      </c>
      <c r="J342" s="15" t="n">
        <v>2025</v>
      </c>
      <c r="K342" s="19" t="s">
        <v>108</v>
      </c>
      <c r="L342" s="15" t="s">
        <v>28</v>
      </c>
      <c r="M342" s="15" t="s">
        <v>33</v>
      </c>
      <c r="N342" s="17"/>
      <c r="O342" s="15"/>
      <c r="P342" s="15"/>
      <c r="Q342" s="21"/>
      <c r="R342" s="21"/>
      <c r="S342" s="21"/>
      <c r="T342" s="31" t="n">
        <v>45884</v>
      </c>
      <c r="U342" s="24"/>
    </row>
    <row r="343" s="25" customFormat="true" ht="41.4" hidden="false" customHeight="false" outlineLevel="0" collapsed="false">
      <c r="A343" s="36" t="s">
        <v>901</v>
      </c>
      <c r="B343" s="26" t="s">
        <v>902</v>
      </c>
      <c r="C343" s="14"/>
      <c r="D343" s="15" t="n">
        <v>6</v>
      </c>
      <c r="E343" s="27" t="n">
        <v>1150</v>
      </c>
      <c r="F343" s="16" t="n">
        <v>2300</v>
      </c>
      <c r="G343" s="15" t="s">
        <v>24</v>
      </c>
      <c r="H343" s="17" t="s">
        <v>25</v>
      </c>
      <c r="I343" s="18" t="s">
        <v>26</v>
      </c>
      <c r="J343" s="15" t="n">
        <v>2007</v>
      </c>
      <c r="K343" s="19" t="s">
        <v>27</v>
      </c>
      <c r="L343" s="15" t="s">
        <v>28</v>
      </c>
      <c r="M343" s="15" t="s">
        <v>33</v>
      </c>
      <c r="N343" s="17"/>
      <c r="O343" s="15"/>
      <c r="P343" s="15"/>
      <c r="Q343" s="21" t="s">
        <v>534</v>
      </c>
      <c r="R343" s="21"/>
      <c r="S343" s="21"/>
      <c r="T343" s="28"/>
      <c r="U343" s="24" t="s">
        <v>903</v>
      </c>
    </row>
    <row r="344" s="25" customFormat="true" ht="41.4" hidden="false" customHeight="false" outlineLevel="0" collapsed="false">
      <c r="A344" s="36" t="s">
        <v>904</v>
      </c>
      <c r="B344" s="26" t="s">
        <v>905</v>
      </c>
      <c r="C344" s="14" t="s">
        <v>246</v>
      </c>
      <c r="D344" s="15" t="n">
        <v>6</v>
      </c>
      <c r="E344" s="27" t="n">
        <f aca="false">F344/2</f>
        <v>11774</v>
      </c>
      <c r="F344" s="38" t="n">
        <v>23548</v>
      </c>
      <c r="G344" s="15" t="s">
        <v>36</v>
      </c>
      <c r="H344" s="17" t="s">
        <v>25</v>
      </c>
      <c r="I344" s="18" t="s">
        <v>26</v>
      </c>
      <c r="J344" s="15" t="n">
        <v>2017</v>
      </c>
      <c r="K344" s="19" t="s">
        <v>27</v>
      </c>
      <c r="L344" s="15" t="s">
        <v>28</v>
      </c>
      <c r="M344" s="15" t="s">
        <v>33</v>
      </c>
      <c r="N344" s="17"/>
      <c r="O344" s="15"/>
      <c r="P344" s="15"/>
      <c r="Q344" s="21" t="s">
        <v>247</v>
      </c>
      <c r="R344" s="21"/>
      <c r="S344" s="21"/>
      <c r="T344" s="31" t="n">
        <v>45882</v>
      </c>
      <c r="U344" s="24" t="s">
        <v>248</v>
      </c>
    </row>
    <row r="345" s="25" customFormat="true" ht="41.4" hidden="false" customHeight="false" outlineLevel="0" collapsed="false">
      <c r="A345" s="39" t="s">
        <v>906</v>
      </c>
      <c r="B345" s="26"/>
      <c r="C345" s="14" t="s">
        <v>264</v>
      </c>
      <c r="D345" s="15" t="n">
        <v>12</v>
      </c>
      <c r="E345" s="16" t="n">
        <f aca="false">F345/2</f>
        <v>62339.76</v>
      </c>
      <c r="F345" s="16" t="n">
        <f aca="false">134064*0.93</f>
        <v>124679.52</v>
      </c>
      <c r="G345" s="15" t="s">
        <v>36</v>
      </c>
      <c r="H345" s="17" t="s">
        <v>25</v>
      </c>
      <c r="I345" s="18" t="s">
        <v>26</v>
      </c>
      <c r="J345" s="15" t="n">
        <v>2024</v>
      </c>
      <c r="K345" s="19" t="s">
        <v>27</v>
      </c>
      <c r="L345" s="15" t="s">
        <v>28</v>
      </c>
      <c r="M345" s="15" t="s">
        <v>33</v>
      </c>
      <c r="N345" s="15"/>
      <c r="O345" s="15"/>
      <c r="P345" s="15"/>
      <c r="Q345" s="21"/>
      <c r="R345" s="21"/>
      <c r="S345" s="40"/>
      <c r="T345" s="31" t="n">
        <v>45880</v>
      </c>
      <c r="U345" s="41"/>
    </row>
    <row r="346" s="25" customFormat="true" ht="41.4" hidden="false" customHeight="false" outlineLevel="0" collapsed="false">
      <c r="A346" s="36" t="s">
        <v>907</v>
      </c>
      <c r="B346" s="26" t="s">
        <v>908</v>
      </c>
      <c r="C346" s="14" t="s">
        <v>909</v>
      </c>
      <c r="D346" s="15" t="n">
        <v>12</v>
      </c>
      <c r="E346" s="27" t="n">
        <f aca="false">F346/2</f>
        <v>7200</v>
      </c>
      <c r="F346" s="16" t="n">
        <v>14400</v>
      </c>
      <c r="G346" s="15" t="s">
        <v>36</v>
      </c>
      <c r="H346" s="17" t="s">
        <v>25</v>
      </c>
      <c r="I346" s="18" t="s">
        <v>26</v>
      </c>
      <c r="J346" s="15" t="n">
        <v>2019</v>
      </c>
      <c r="K346" s="19" t="s">
        <v>27</v>
      </c>
      <c r="L346" s="15" t="s">
        <v>28</v>
      </c>
      <c r="M346" s="15" t="s">
        <v>33</v>
      </c>
      <c r="N346" s="20"/>
      <c r="O346" s="15"/>
      <c r="P346" s="15"/>
      <c r="Q346" s="21" t="s">
        <v>78</v>
      </c>
      <c r="R346" s="21"/>
      <c r="S346" s="21"/>
      <c r="T346" s="28"/>
      <c r="U346" s="34"/>
    </row>
    <row r="347" s="25" customFormat="true" ht="41.4" hidden="false" customHeight="false" outlineLevel="0" collapsed="false">
      <c r="A347" s="36" t="s">
        <v>910</v>
      </c>
      <c r="B347" s="26" t="s">
        <v>911</v>
      </c>
      <c r="C347" s="14" t="s">
        <v>912</v>
      </c>
      <c r="D347" s="15" t="n">
        <v>12</v>
      </c>
      <c r="E347" s="27" t="n">
        <f aca="false">F347/2</f>
        <v>10800</v>
      </c>
      <c r="F347" s="16" t="n">
        <v>21600</v>
      </c>
      <c r="G347" s="15" t="s">
        <v>36</v>
      </c>
      <c r="H347" s="17" t="s">
        <v>25</v>
      </c>
      <c r="I347" s="18" t="s">
        <v>26</v>
      </c>
      <c r="J347" s="15" t="n">
        <v>2022</v>
      </c>
      <c r="K347" s="19" t="s">
        <v>27</v>
      </c>
      <c r="L347" s="15" t="s">
        <v>28</v>
      </c>
      <c r="M347" s="15" t="s">
        <v>33</v>
      </c>
      <c r="N347" s="17"/>
      <c r="O347" s="15"/>
      <c r="P347" s="15"/>
      <c r="Q347" s="21"/>
      <c r="R347" s="21"/>
      <c r="S347" s="21"/>
      <c r="T347" s="28"/>
      <c r="U347" s="24"/>
    </row>
    <row r="348" s="25" customFormat="true" ht="41.4" hidden="false" customHeight="false" outlineLevel="0" collapsed="false">
      <c r="A348" s="36" t="s">
        <v>913</v>
      </c>
      <c r="B348" s="26" t="s">
        <v>914</v>
      </c>
      <c r="C348" s="14" t="s">
        <v>357</v>
      </c>
      <c r="D348" s="15" t="n">
        <v>12</v>
      </c>
      <c r="E348" s="27" t="n">
        <f aca="false">F348/2</f>
        <v>792</v>
      </c>
      <c r="F348" s="16" t="n">
        <v>1584</v>
      </c>
      <c r="G348" s="15" t="s">
        <v>354</v>
      </c>
      <c r="H348" s="17" t="s">
        <v>25</v>
      </c>
      <c r="I348" s="18" t="s">
        <v>26</v>
      </c>
      <c r="J348" s="15" t="n">
        <v>2000</v>
      </c>
      <c r="K348" s="19" t="s">
        <v>27</v>
      </c>
      <c r="L348" s="15" t="s">
        <v>28</v>
      </c>
      <c r="M348" s="15" t="s">
        <v>33</v>
      </c>
      <c r="N348" s="17" t="s">
        <v>40</v>
      </c>
      <c r="O348" s="15" t="s">
        <v>54</v>
      </c>
      <c r="P348" s="15"/>
      <c r="Q348" s="21" t="s">
        <v>41</v>
      </c>
      <c r="R348" s="21"/>
      <c r="S348" s="21"/>
      <c r="T348" s="28"/>
      <c r="U348" s="24" t="s">
        <v>915</v>
      </c>
    </row>
    <row r="349" s="25" customFormat="true" ht="45.6" hidden="false" customHeight="false" outlineLevel="0" collapsed="false">
      <c r="A349" s="36" t="s">
        <v>916</v>
      </c>
      <c r="B349" s="26" t="s">
        <v>917</v>
      </c>
      <c r="C349" s="14" t="s">
        <v>357</v>
      </c>
      <c r="D349" s="15" t="n">
        <v>12</v>
      </c>
      <c r="E349" s="27" t="n">
        <f aca="false">F349/2</f>
        <v>792</v>
      </c>
      <c r="F349" s="16" t="n">
        <v>1584</v>
      </c>
      <c r="G349" s="15" t="s">
        <v>354</v>
      </c>
      <c r="H349" s="17" t="s">
        <v>25</v>
      </c>
      <c r="I349" s="18" t="s">
        <v>26</v>
      </c>
      <c r="J349" s="15" t="n">
        <v>2000</v>
      </c>
      <c r="K349" s="19" t="s">
        <v>27</v>
      </c>
      <c r="L349" s="15" t="s">
        <v>28</v>
      </c>
      <c r="M349" s="15" t="s">
        <v>33</v>
      </c>
      <c r="N349" s="17" t="s">
        <v>83</v>
      </c>
      <c r="O349" s="15"/>
      <c r="P349" s="15"/>
      <c r="Q349" s="21" t="s">
        <v>41</v>
      </c>
      <c r="R349" s="21"/>
      <c r="S349" s="21"/>
      <c r="T349" s="28"/>
      <c r="U349" s="24" t="s">
        <v>918</v>
      </c>
    </row>
    <row r="350" s="25" customFormat="true" ht="41.4" hidden="false" customHeight="false" outlineLevel="0" collapsed="false">
      <c r="A350" s="36" t="s">
        <v>919</v>
      </c>
      <c r="B350" s="26"/>
      <c r="C350" s="14" t="s">
        <v>357</v>
      </c>
      <c r="D350" s="15" t="n">
        <v>6</v>
      </c>
      <c r="E350" s="16" t="n">
        <f aca="false">F350/2</f>
        <v>450</v>
      </c>
      <c r="F350" s="16" t="n">
        <v>900</v>
      </c>
      <c r="G350" s="15" t="s">
        <v>36</v>
      </c>
      <c r="H350" s="17" t="s">
        <v>25</v>
      </c>
      <c r="I350" s="18" t="s">
        <v>26</v>
      </c>
      <c r="J350" s="15" t="n">
        <v>2019</v>
      </c>
      <c r="K350" s="19" t="s">
        <v>27</v>
      </c>
      <c r="L350" s="15" t="s">
        <v>28</v>
      </c>
      <c r="M350" s="15" t="s">
        <v>33</v>
      </c>
      <c r="N350" s="17" t="s">
        <v>40</v>
      </c>
      <c r="O350" s="15"/>
      <c r="P350" s="15"/>
      <c r="Q350" s="21" t="s">
        <v>41</v>
      </c>
      <c r="R350" s="21"/>
      <c r="S350" s="21"/>
      <c r="T350" s="28"/>
      <c r="U350" s="34"/>
      <c r="V350" s="37"/>
      <c r="W350" s="37"/>
    </row>
    <row r="351" s="25" customFormat="true" ht="41.4" hidden="false" customHeight="false" outlineLevel="0" collapsed="false">
      <c r="A351" s="36" t="s">
        <v>920</v>
      </c>
      <c r="B351" s="26" t="s">
        <v>921</v>
      </c>
      <c r="C351" s="14" t="s">
        <v>357</v>
      </c>
      <c r="D351" s="15" t="n">
        <v>52</v>
      </c>
      <c r="E351" s="27" t="n">
        <v>750</v>
      </c>
      <c r="F351" s="16" t="n">
        <v>1500</v>
      </c>
      <c r="G351" s="15" t="s">
        <v>354</v>
      </c>
      <c r="H351" s="17" t="s">
        <v>25</v>
      </c>
      <c r="I351" s="18" t="s">
        <v>26</v>
      </c>
      <c r="J351" s="15" t="n">
        <v>1996</v>
      </c>
      <c r="K351" s="19" t="s">
        <v>37</v>
      </c>
      <c r="L351" s="15" t="s">
        <v>103</v>
      </c>
      <c r="M351" s="15" t="s">
        <v>33</v>
      </c>
      <c r="N351" s="17" t="s">
        <v>40</v>
      </c>
      <c r="O351" s="15"/>
      <c r="P351" s="15"/>
      <c r="Q351" s="21" t="s">
        <v>41</v>
      </c>
      <c r="R351" s="21"/>
      <c r="S351" s="21"/>
      <c r="T351" s="28"/>
      <c r="U351" s="24" t="s">
        <v>922</v>
      </c>
    </row>
    <row r="352" s="25" customFormat="true" ht="41.4" hidden="false" customHeight="false" outlineLevel="0" collapsed="false">
      <c r="A352" s="36" t="s">
        <v>923</v>
      </c>
      <c r="B352" s="26" t="n">
        <v>12455</v>
      </c>
      <c r="C352" s="14"/>
      <c r="D352" s="15" t="n">
        <v>12</v>
      </c>
      <c r="E352" s="27" t="n">
        <v>1800</v>
      </c>
      <c r="F352" s="16" t="n">
        <v>3600</v>
      </c>
      <c r="G352" s="15" t="s">
        <v>354</v>
      </c>
      <c r="H352" s="17" t="s">
        <v>25</v>
      </c>
      <c r="I352" s="18" t="s">
        <v>26</v>
      </c>
      <c r="J352" s="15" t="n">
        <v>2000</v>
      </c>
      <c r="K352" s="19" t="s">
        <v>27</v>
      </c>
      <c r="L352" s="15" t="s">
        <v>28</v>
      </c>
      <c r="M352" s="15" t="s">
        <v>33</v>
      </c>
      <c r="N352" s="17" t="s">
        <v>40</v>
      </c>
      <c r="O352" s="15"/>
      <c r="P352" s="15"/>
      <c r="Q352" s="21" t="s">
        <v>41</v>
      </c>
      <c r="R352" s="21"/>
      <c r="S352" s="21"/>
      <c r="T352" s="28"/>
      <c r="U352" s="24" t="s">
        <v>924</v>
      </c>
    </row>
    <row r="353" s="25" customFormat="true" ht="41.4" hidden="false" customHeight="false" outlineLevel="0" collapsed="false">
      <c r="A353" s="36" t="s">
        <v>925</v>
      </c>
      <c r="B353" s="26"/>
      <c r="C353" s="14" t="s">
        <v>497</v>
      </c>
      <c r="D353" s="15" t="n">
        <v>4</v>
      </c>
      <c r="E353" s="27" t="n">
        <f aca="false">F353/2</f>
        <v>50</v>
      </c>
      <c r="F353" s="16" t="n">
        <v>100</v>
      </c>
      <c r="G353" s="15" t="s">
        <v>36</v>
      </c>
      <c r="H353" s="17" t="s">
        <v>25</v>
      </c>
      <c r="I353" s="18" t="s">
        <v>26</v>
      </c>
      <c r="J353" s="15" t="n">
        <v>2025</v>
      </c>
      <c r="K353" s="19" t="s">
        <v>498</v>
      </c>
      <c r="L353" s="15" t="s">
        <v>28</v>
      </c>
      <c r="M353" s="15" t="s">
        <v>33</v>
      </c>
      <c r="N353" s="17" t="s">
        <v>83</v>
      </c>
      <c r="O353" s="15"/>
      <c r="P353" s="15"/>
      <c r="Q353" s="21"/>
      <c r="R353" s="21"/>
      <c r="S353" s="21"/>
      <c r="T353" s="28"/>
      <c r="U353" s="24"/>
    </row>
    <row r="354" s="25" customFormat="true" ht="41.4" hidden="false" customHeight="false" outlineLevel="0" collapsed="false">
      <c r="A354" s="36" t="s">
        <v>926</v>
      </c>
      <c r="B354" s="26" t="s">
        <v>927</v>
      </c>
      <c r="C354" s="14" t="s">
        <v>393</v>
      </c>
      <c r="D354" s="15" t="n">
        <v>4</v>
      </c>
      <c r="E354" s="27" t="n">
        <f aca="false">F354/2</f>
        <v>650</v>
      </c>
      <c r="F354" s="16" t="n">
        <v>1300</v>
      </c>
      <c r="G354" s="15" t="s">
        <v>36</v>
      </c>
      <c r="H354" s="17" t="s">
        <v>25</v>
      </c>
      <c r="I354" s="18" t="s">
        <v>26</v>
      </c>
      <c r="J354" s="15" t="n">
        <v>2015</v>
      </c>
      <c r="K354" s="19" t="s">
        <v>394</v>
      </c>
      <c r="L354" s="15" t="s">
        <v>28</v>
      </c>
      <c r="M354" s="15" t="s">
        <v>33</v>
      </c>
      <c r="N354" s="20" t="s">
        <v>153</v>
      </c>
      <c r="O354" s="15"/>
      <c r="P354" s="15"/>
      <c r="Q354" s="21"/>
      <c r="R354" s="21"/>
      <c r="S354" s="21"/>
      <c r="T354" s="28"/>
      <c r="U354" s="34"/>
    </row>
    <row r="355" s="25" customFormat="true" ht="41.4" hidden="false" customHeight="false" outlineLevel="0" collapsed="false">
      <c r="A355" s="36" t="s">
        <v>928</v>
      </c>
      <c r="B355" s="26" t="s">
        <v>929</v>
      </c>
      <c r="C355" s="14" t="s">
        <v>393</v>
      </c>
      <c r="D355" s="15" t="n">
        <v>4</v>
      </c>
      <c r="E355" s="27" t="n">
        <f aca="false">F355/2</f>
        <v>650</v>
      </c>
      <c r="F355" s="16" t="n">
        <v>1300</v>
      </c>
      <c r="G355" s="15" t="s">
        <v>36</v>
      </c>
      <c r="H355" s="17" t="s">
        <v>25</v>
      </c>
      <c r="I355" s="18" t="s">
        <v>26</v>
      </c>
      <c r="J355" s="15" t="n">
        <v>2014</v>
      </c>
      <c r="K355" s="19" t="s">
        <v>394</v>
      </c>
      <c r="L355" s="15" t="s">
        <v>28</v>
      </c>
      <c r="M355" s="15" t="s">
        <v>33</v>
      </c>
      <c r="N355" s="20" t="s">
        <v>153</v>
      </c>
      <c r="O355" s="15"/>
      <c r="P355" s="15"/>
      <c r="Q355" s="21"/>
      <c r="R355" s="21"/>
      <c r="S355" s="21"/>
      <c r="T355" s="28"/>
      <c r="U355" s="34"/>
    </row>
    <row r="356" s="25" customFormat="true" ht="41.4" hidden="false" customHeight="false" outlineLevel="0" collapsed="false">
      <c r="A356" s="36" t="s">
        <v>930</v>
      </c>
      <c r="B356" s="26" t="s">
        <v>931</v>
      </c>
      <c r="C356" s="14" t="s">
        <v>932</v>
      </c>
      <c r="D356" s="15" t="n">
        <v>12</v>
      </c>
      <c r="E356" s="27" t="n">
        <f aca="false">F356/2</f>
        <v>10080</v>
      </c>
      <c r="F356" s="16" t="n">
        <v>20160</v>
      </c>
      <c r="G356" s="15" t="s">
        <v>24</v>
      </c>
      <c r="H356" s="17" t="s">
        <v>25</v>
      </c>
      <c r="I356" s="18" t="s">
        <v>26</v>
      </c>
      <c r="J356" s="15" t="n">
        <v>2016</v>
      </c>
      <c r="K356" s="19" t="s">
        <v>27</v>
      </c>
      <c r="L356" s="15" t="s">
        <v>28</v>
      </c>
      <c r="M356" s="15" t="s">
        <v>33</v>
      </c>
      <c r="N356" s="17" t="s">
        <v>83</v>
      </c>
      <c r="O356" s="15"/>
      <c r="P356" s="15"/>
      <c r="Q356" s="21" t="s">
        <v>302</v>
      </c>
      <c r="R356" s="21"/>
      <c r="S356" s="21"/>
      <c r="T356" s="28"/>
      <c r="U356" s="24"/>
    </row>
    <row r="357" s="25" customFormat="true" ht="41.4" hidden="false" customHeight="false" outlineLevel="0" collapsed="false">
      <c r="A357" s="36" t="s">
        <v>933</v>
      </c>
      <c r="B357" s="26" t="s">
        <v>934</v>
      </c>
      <c r="C357" s="14"/>
      <c r="D357" s="15" t="n">
        <v>6</v>
      </c>
      <c r="E357" s="27" t="n">
        <f aca="false">F357/2</f>
        <v>50</v>
      </c>
      <c r="F357" s="16" t="n">
        <v>100</v>
      </c>
      <c r="G357" s="15" t="s">
        <v>24</v>
      </c>
      <c r="H357" s="17" t="s">
        <v>25</v>
      </c>
      <c r="I357" s="18" t="s">
        <v>26</v>
      </c>
      <c r="J357" s="15" t="n">
        <v>2006</v>
      </c>
      <c r="K357" s="19" t="s">
        <v>27</v>
      </c>
      <c r="L357" s="15" t="s">
        <v>28</v>
      </c>
      <c r="M357" s="15" t="s">
        <v>33</v>
      </c>
      <c r="N357" s="17" t="s">
        <v>83</v>
      </c>
      <c r="O357" s="15" t="s">
        <v>54</v>
      </c>
      <c r="P357" s="17" t="s">
        <v>935</v>
      </c>
      <c r="Q357" s="21" t="s">
        <v>302</v>
      </c>
      <c r="R357" s="21"/>
      <c r="S357" s="21"/>
      <c r="T357" s="28"/>
      <c r="U357" s="24"/>
    </row>
    <row r="358" s="25" customFormat="true" ht="41.4" hidden="false" customHeight="false" outlineLevel="0" collapsed="false">
      <c r="A358" s="36" t="s">
        <v>936</v>
      </c>
      <c r="B358" s="26" t="s">
        <v>937</v>
      </c>
      <c r="C358" s="14" t="s">
        <v>938</v>
      </c>
      <c r="D358" s="15" t="n">
        <v>6</v>
      </c>
      <c r="E358" s="27" t="n">
        <f aca="false">F358/2</f>
        <v>1728</v>
      </c>
      <c r="F358" s="16" t="n">
        <f aca="false">2880*1.2</f>
        <v>3456</v>
      </c>
      <c r="G358" s="15" t="s">
        <v>24</v>
      </c>
      <c r="H358" s="17" t="s">
        <v>25</v>
      </c>
      <c r="I358" s="18" t="s">
        <v>26</v>
      </c>
      <c r="J358" s="15" t="n">
        <v>2005</v>
      </c>
      <c r="K358" s="19" t="s">
        <v>27</v>
      </c>
      <c r="L358" s="15" t="s">
        <v>28</v>
      </c>
      <c r="M358" s="15" t="s">
        <v>33</v>
      </c>
      <c r="N358" s="17" t="s">
        <v>83</v>
      </c>
      <c r="O358" s="15"/>
      <c r="P358" s="15"/>
      <c r="Q358" s="21" t="s">
        <v>939</v>
      </c>
      <c r="R358" s="21"/>
      <c r="S358" s="21"/>
      <c r="T358" s="28"/>
      <c r="U358" s="24" t="s">
        <v>940</v>
      </c>
    </row>
    <row r="359" s="25" customFormat="true" ht="41.4" hidden="false" customHeight="false" outlineLevel="0" collapsed="false">
      <c r="A359" s="36" t="s">
        <v>941</v>
      </c>
      <c r="B359" s="26" t="s">
        <v>942</v>
      </c>
      <c r="C359" s="14" t="s">
        <v>157</v>
      </c>
      <c r="D359" s="15" t="n">
        <v>4</v>
      </c>
      <c r="E359" s="27" t="n">
        <f aca="false">F359/2</f>
        <v>600</v>
      </c>
      <c r="F359" s="16" t="n">
        <v>1200</v>
      </c>
      <c r="G359" s="15" t="s">
        <v>36</v>
      </c>
      <c r="H359" s="17" t="s">
        <v>25</v>
      </c>
      <c r="I359" s="18" t="s">
        <v>26</v>
      </c>
      <c r="J359" s="15" t="n">
        <v>2017</v>
      </c>
      <c r="K359" s="19" t="s">
        <v>27</v>
      </c>
      <c r="L359" s="15" t="s">
        <v>28</v>
      </c>
      <c r="M359" s="15" t="s">
        <v>33</v>
      </c>
      <c r="N359" s="17" t="s">
        <v>600</v>
      </c>
      <c r="O359" s="15"/>
      <c r="P359" s="15"/>
      <c r="Q359" s="21"/>
      <c r="R359" s="21"/>
      <c r="S359" s="21"/>
      <c r="T359" s="28"/>
      <c r="U359" s="24"/>
    </row>
    <row r="360" s="25" customFormat="true" ht="41.4" hidden="false" customHeight="false" outlineLevel="0" collapsed="false">
      <c r="A360" s="36" t="s">
        <v>943</v>
      </c>
      <c r="B360" s="26" t="s">
        <v>944</v>
      </c>
      <c r="C360" s="14" t="s">
        <v>938</v>
      </c>
      <c r="D360" s="15" t="n">
        <v>6</v>
      </c>
      <c r="E360" s="27" t="n">
        <f aca="false">F360/2</f>
        <v>1728</v>
      </c>
      <c r="F360" s="16" t="n">
        <f aca="false">2880*1.2</f>
        <v>3456</v>
      </c>
      <c r="G360" s="15" t="s">
        <v>24</v>
      </c>
      <c r="H360" s="17" t="s">
        <v>25</v>
      </c>
      <c r="I360" s="18" t="s">
        <v>26</v>
      </c>
      <c r="J360" s="15" t="n">
        <v>2005</v>
      </c>
      <c r="K360" s="19" t="s">
        <v>27</v>
      </c>
      <c r="L360" s="15" t="s">
        <v>28</v>
      </c>
      <c r="M360" s="15" t="s">
        <v>33</v>
      </c>
      <c r="N360" s="17" t="s">
        <v>83</v>
      </c>
      <c r="O360" s="15"/>
      <c r="P360" s="15"/>
      <c r="Q360" s="21" t="s">
        <v>939</v>
      </c>
      <c r="R360" s="21"/>
      <c r="S360" s="21"/>
      <c r="T360" s="28"/>
      <c r="U360" s="24" t="s">
        <v>945</v>
      </c>
    </row>
    <row r="361" s="25" customFormat="true" ht="41.4" hidden="false" customHeight="false" outlineLevel="0" collapsed="false">
      <c r="A361" s="36" t="s">
        <v>946</v>
      </c>
      <c r="B361" s="26" t="s">
        <v>947</v>
      </c>
      <c r="C361" s="14" t="s">
        <v>938</v>
      </c>
      <c r="D361" s="15" t="n">
        <v>4</v>
      </c>
      <c r="E361" s="27" t="n">
        <f aca="false">F361/2</f>
        <v>1152</v>
      </c>
      <c r="F361" s="16" t="n">
        <f aca="false">1920*1.2</f>
        <v>2304</v>
      </c>
      <c r="G361" s="15" t="s">
        <v>24</v>
      </c>
      <c r="H361" s="17" t="s">
        <v>25</v>
      </c>
      <c r="I361" s="18" t="s">
        <v>26</v>
      </c>
      <c r="J361" s="15" t="n">
        <v>2017</v>
      </c>
      <c r="K361" s="19" t="s">
        <v>27</v>
      </c>
      <c r="L361" s="15" t="s">
        <v>28</v>
      </c>
      <c r="M361" s="15" t="s">
        <v>33</v>
      </c>
      <c r="N361" s="17" t="s">
        <v>83</v>
      </c>
      <c r="O361" s="15"/>
      <c r="P361" s="15"/>
      <c r="Q361" s="21" t="s">
        <v>78</v>
      </c>
      <c r="R361" s="21"/>
      <c r="S361" s="21"/>
      <c r="T361" s="28"/>
      <c r="U361" s="24"/>
    </row>
    <row r="362" s="25" customFormat="true" ht="41.4" hidden="false" customHeight="false" outlineLevel="0" collapsed="false">
      <c r="A362" s="36" t="s">
        <v>948</v>
      </c>
      <c r="B362" s="26"/>
      <c r="C362" s="14" t="s">
        <v>864</v>
      </c>
      <c r="D362" s="15" t="n">
        <v>2</v>
      </c>
      <c r="E362" s="27" t="n">
        <f aca="false">F362/2</f>
        <v>50</v>
      </c>
      <c r="F362" s="16" t="n">
        <v>100</v>
      </c>
      <c r="G362" s="15" t="s">
        <v>36</v>
      </c>
      <c r="H362" s="17" t="s">
        <v>25</v>
      </c>
      <c r="I362" s="18" t="s">
        <v>26</v>
      </c>
      <c r="J362" s="15" t="n">
        <v>2023</v>
      </c>
      <c r="K362" s="19" t="s">
        <v>553</v>
      </c>
      <c r="L362" s="15" t="s">
        <v>28</v>
      </c>
      <c r="M362" s="15" t="s">
        <v>33</v>
      </c>
      <c r="N362" s="17" t="s">
        <v>655</v>
      </c>
      <c r="O362" s="15"/>
      <c r="P362" s="15"/>
      <c r="Q362" s="21"/>
      <c r="R362" s="21"/>
      <c r="S362" s="21"/>
      <c r="T362" s="28"/>
      <c r="U362" s="24"/>
    </row>
    <row r="363" s="25" customFormat="true" ht="41.4" hidden="false" customHeight="false" outlineLevel="0" collapsed="false">
      <c r="A363" s="36" t="s">
        <v>949</v>
      </c>
      <c r="B363" s="26"/>
      <c r="C363" s="14" t="s">
        <v>144</v>
      </c>
      <c r="D363" s="15" t="n">
        <v>4</v>
      </c>
      <c r="E363" s="16" t="n">
        <f aca="false">F363/2</f>
        <v>50</v>
      </c>
      <c r="F363" s="16" t="n">
        <v>100</v>
      </c>
      <c r="G363" s="15" t="s">
        <v>36</v>
      </c>
      <c r="H363" s="17" t="s">
        <v>25</v>
      </c>
      <c r="I363" s="18" t="s">
        <v>26</v>
      </c>
      <c r="J363" s="15" t="n">
        <v>2025</v>
      </c>
      <c r="K363" s="19" t="s">
        <v>145</v>
      </c>
      <c r="L363" s="15" t="s">
        <v>28</v>
      </c>
      <c r="M363" s="15" t="s">
        <v>33</v>
      </c>
      <c r="N363" s="17"/>
      <c r="O363" s="15"/>
      <c r="P363" s="15"/>
      <c r="Q363" s="21"/>
      <c r="R363" s="21"/>
      <c r="S363" s="21" t="s">
        <v>113</v>
      </c>
      <c r="T363" s="31" t="n">
        <v>45880</v>
      </c>
      <c r="U363" s="24"/>
    </row>
    <row r="364" s="25" customFormat="true" ht="41.4" hidden="false" customHeight="false" outlineLevel="0" collapsed="false">
      <c r="A364" s="36" t="s">
        <v>950</v>
      </c>
      <c r="B364" s="26" t="s">
        <v>951</v>
      </c>
      <c r="C364" s="14" t="s">
        <v>952</v>
      </c>
      <c r="D364" s="15" t="n">
        <v>4</v>
      </c>
      <c r="E364" s="27" t="n">
        <f aca="false">F364/2</f>
        <v>2200</v>
      </c>
      <c r="F364" s="16" t="n">
        <v>4400</v>
      </c>
      <c r="G364" s="15" t="s">
        <v>36</v>
      </c>
      <c r="H364" s="17" t="s">
        <v>25</v>
      </c>
      <c r="I364" s="18" t="s">
        <v>26</v>
      </c>
      <c r="J364" s="15" t="n">
        <v>2019</v>
      </c>
      <c r="K364" s="19" t="s">
        <v>27</v>
      </c>
      <c r="L364" s="15" t="s">
        <v>28</v>
      </c>
      <c r="M364" s="15" t="s">
        <v>33</v>
      </c>
      <c r="N364" s="17" t="s">
        <v>96</v>
      </c>
      <c r="O364" s="15"/>
      <c r="P364" s="15"/>
      <c r="Q364" s="21" t="s">
        <v>78</v>
      </c>
      <c r="R364" s="21"/>
      <c r="S364" s="21"/>
      <c r="T364" s="28"/>
      <c r="U364" s="24"/>
    </row>
    <row r="365" s="25" customFormat="true" ht="41.4" hidden="false" customHeight="false" outlineLevel="0" collapsed="false">
      <c r="A365" s="36" t="s">
        <v>953</v>
      </c>
      <c r="B365" s="26" t="s">
        <v>954</v>
      </c>
      <c r="C365" s="14" t="s">
        <v>955</v>
      </c>
      <c r="D365" s="15" t="n">
        <v>4</v>
      </c>
      <c r="E365" s="27" t="n">
        <f aca="false">F365/2</f>
        <v>2500</v>
      </c>
      <c r="F365" s="16" t="n">
        <v>5000</v>
      </c>
      <c r="G365" s="15" t="s">
        <v>36</v>
      </c>
      <c r="H365" s="17" t="s">
        <v>25</v>
      </c>
      <c r="I365" s="18" t="s">
        <v>26</v>
      </c>
      <c r="J365" s="15" t="n">
        <v>2017</v>
      </c>
      <c r="K365" s="19" t="s">
        <v>27</v>
      </c>
      <c r="L365" s="15" t="s">
        <v>28</v>
      </c>
      <c r="M365" s="15" t="s">
        <v>33</v>
      </c>
      <c r="N365" s="17" t="s">
        <v>53</v>
      </c>
      <c r="O365" s="15"/>
      <c r="P365" s="15"/>
      <c r="Q365" s="21" t="s">
        <v>419</v>
      </c>
      <c r="R365" s="21"/>
      <c r="S365" s="21"/>
      <c r="T365" s="28"/>
      <c r="U365" s="24"/>
    </row>
    <row r="366" s="25" customFormat="true" ht="41.4" hidden="false" customHeight="false" outlineLevel="0" collapsed="false">
      <c r="A366" s="36" t="s">
        <v>956</v>
      </c>
      <c r="B366" s="26" t="s">
        <v>957</v>
      </c>
      <c r="C366" s="14" t="s">
        <v>958</v>
      </c>
      <c r="D366" s="15" t="n">
        <v>12</v>
      </c>
      <c r="E366" s="27" t="n">
        <f aca="false">F366/2</f>
        <v>900</v>
      </c>
      <c r="F366" s="16" t="n">
        <v>1800</v>
      </c>
      <c r="G366" s="15" t="s">
        <v>24</v>
      </c>
      <c r="H366" s="17" t="s">
        <v>25</v>
      </c>
      <c r="I366" s="18" t="s">
        <v>26</v>
      </c>
      <c r="J366" s="15" t="n">
        <v>2000</v>
      </c>
      <c r="K366" s="19" t="s">
        <v>27</v>
      </c>
      <c r="L366" s="15" t="s">
        <v>28</v>
      </c>
      <c r="M366" s="15" t="s">
        <v>33</v>
      </c>
      <c r="N366" s="17" t="s">
        <v>175</v>
      </c>
      <c r="O366" s="15"/>
      <c r="P366" s="15"/>
      <c r="Q366" s="21" t="s">
        <v>47</v>
      </c>
      <c r="R366" s="21"/>
      <c r="S366" s="21"/>
      <c r="T366" s="28"/>
      <c r="U366" s="24" t="s">
        <v>959</v>
      </c>
    </row>
    <row r="367" s="25" customFormat="true" ht="41.4" hidden="false" customHeight="false" outlineLevel="0" collapsed="false">
      <c r="A367" s="36" t="s">
        <v>960</v>
      </c>
      <c r="B367" s="26" t="s">
        <v>961</v>
      </c>
      <c r="C367" s="14" t="s">
        <v>246</v>
      </c>
      <c r="D367" s="15" t="n">
        <v>4</v>
      </c>
      <c r="E367" s="27" t="n">
        <f aca="false">F367/2</f>
        <v>2260.5</v>
      </c>
      <c r="F367" s="38" t="n">
        <v>4521</v>
      </c>
      <c r="G367" s="15" t="s">
        <v>24</v>
      </c>
      <c r="H367" s="17" t="s">
        <v>25</v>
      </c>
      <c r="I367" s="18" t="s">
        <v>26</v>
      </c>
      <c r="J367" s="15" t="n">
        <v>2000</v>
      </c>
      <c r="K367" s="19" t="s">
        <v>27</v>
      </c>
      <c r="L367" s="15" t="s">
        <v>28</v>
      </c>
      <c r="M367" s="15" t="s">
        <v>33</v>
      </c>
      <c r="N367" s="17" t="s">
        <v>175</v>
      </c>
      <c r="O367" s="15"/>
      <c r="P367" s="15"/>
      <c r="Q367" s="21" t="s">
        <v>280</v>
      </c>
      <c r="R367" s="21"/>
      <c r="S367" s="21"/>
      <c r="T367" s="31" t="n">
        <v>45882</v>
      </c>
      <c r="U367" s="24" t="s">
        <v>962</v>
      </c>
    </row>
    <row r="368" s="25" customFormat="true" ht="41.4" hidden="false" customHeight="false" outlineLevel="0" collapsed="false">
      <c r="A368" s="36" t="s">
        <v>963</v>
      </c>
      <c r="B368" s="26" t="s">
        <v>964</v>
      </c>
      <c r="C368" s="14" t="s">
        <v>246</v>
      </c>
      <c r="D368" s="15" t="n">
        <v>6</v>
      </c>
      <c r="E368" s="27" t="n">
        <f aca="false">F368/2</f>
        <v>11978.5</v>
      </c>
      <c r="F368" s="38" t="n">
        <v>23957</v>
      </c>
      <c r="G368" s="15" t="s">
        <v>36</v>
      </c>
      <c r="H368" s="17" t="s">
        <v>25</v>
      </c>
      <c r="I368" s="18" t="s">
        <v>26</v>
      </c>
      <c r="J368" s="15" t="n">
        <v>2017</v>
      </c>
      <c r="K368" s="19" t="s">
        <v>27</v>
      </c>
      <c r="L368" s="15" t="s">
        <v>28</v>
      </c>
      <c r="M368" s="15" t="s">
        <v>33</v>
      </c>
      <c r="N368" s="20"/>
      <c r="O368" s="15"/>
      <c r="P368" s="15"/>
      <c r="Q368" s="21" t="s">
        <v>247</v>
      </c>
      <c r="R368" s="21"/>
      <c r="S368" s="21"/>
      <c r="T368" s="31" t="n">
        <v>45882</v>
      </c>
      <c r="U368" s="24" t="s">
        <v>248</v>
      </c>
    </row>
    <row r="369" s="25" customFormat="true" ht="41.4" hidden="false" customHeight="false" outlineLevel="0" collapsed="false">
      <c r="A369" s="36" t="s">
        <v>965</v>
      </c>
      <c r="B369" s="26" t="s">
        <v>966</v>
      </c>
      <c r="C369" s="14" t="s">
        <v>967</v>
      </c>
      <c r="D369" s="15" t="n">
        <v>6</v>
      </c>
      <c r="E369" s="27" t="n">
        <f aca="false">F369/2</f>
        <v>2250</v>
      </c>
      <c r="F369" s="16" t="n">
        <v>4500</v>
      </c>
      <c r="G369" s="15" t="s">
        <v>36</v>
      </c>
      <c r="H369" s="17" t="s">
        <v>25</v>
      </c>
      <c r="I369" s="18" t="s">
        <v>26</v>
      </c>
      <c r="J369" s="15" t="n">
        <v>2019</v>
      </c>
      <c r="K369" s="19" t="s">
        <v>27</v>
      </c>
      <c r="L369" s="15" t="s">
        <v>28</v>
      </c>
      <c r="M369" s="15" t="s">
        <v>33</v>
      </c>
      <c r="N369" s="20" t="s">
        <v>96</v>
      </c>
      <c r="O369" s="15"/>
      <c r="P369" s="15"/>
      <c r="Q369" s="21"/>
      <c r="R369" s="21"/>
      <c r="S369" s="21"/>
      <c r="T369" s="28"/>
      <c r="U369" s="34"/>
    </row>
    <row r="370" s="25" customFormat="true" ht="41.4" hidden="false" customHeight="false" outlineLevel="0" collapsed="false">
      <c r="A370" s="36" t="s">
        <v>968</v>
      </c>
      <c r="B370" s="26"/>
      <c r="C370" s="14" t="s">
        <v>969</v>
      </c>
      <c r="D370" s="15" t="n">
        <v>4</v>
      </c>
      <c r="E370" s="27" t="n">
        <f aca="false">F370/2</f>
        <v>2280</v>
      </c>
      <c r="F370" s="16" t="n">
        <f aca="false">3800*1.2</f>
        <v>4560</v>
      </c>
      <c r="G370" s="15" t="s">
        <v>36</v>
      </c>
      <c r="H370" s="17" t="s">
        <v>25</v>
      </c>
      <c r="I370" s="18" t="s">
        <v>26</v>
      </c>
      <c r="J370" s="15" t="n">
        <v>2024</v>
      </c>
      <c r="K370" s="19"/>
      <c r="L370" s="15" t="s">
        <v>28</v>
      </c>
      <c r="M370" s="15" t="s">
        <v>33</v>
      </c>
      <c r="N370" s="17"/>
      <c r="O370" s="15"/>
      <c r="P370" s="15"/>
      <c r="Q370" s="21"/>
      <c r="R370" s="21"/>
      <c r="S370" s="21"/>
      <c r="T370" s="28"/>
      <c r="U370" s="24"/>
    </row>
    <row r="371" s="25" customFormat="true" ht="41.4" hidden="false" customHeight="false" outlineLevel="0" collapsed="false">
      <c r="A371" s="42" t="s">
        <v>970</v>
      </c>
      <c r="B371" s="26"/>
      <c r="C371" s="14" t="s">
        <v>264</v>
      </c>
      <c r="D371" s="15" t="n">
        <v>12</v>
      </c>
      <c r="E371" s="27" t="n">
        <f aca="false">F371/2</f>
        <v>30533.76</v>
      </c>
      <c r="F371" s="16" t="n">
        <f aca="false">65664*0.93</f>
        <v>61067.52</v>
      </c>
      <c r="G371" s="15" t="s">
        <v>36</v>
      </c>
      <c r="H371" s="17" t="s">
        <v>25</v>
      </c>
      <c r="I371" s="18" t="s">
        <v>26</v>
      </c>
      <c r="J371" s="15" t="n">
        <v>2024</v>
      </c>
      <c r="K371" s="19" t="s">
        <v>27</v>
      </c>
      <c r="L371" s="15" t="s">
        <v>28</v>
      </c>
      <c r="M371" s="15" t="s">
        <v>33</v>
      </c>
      <c r="N371" s="17"/>
      <c r="O371" s="15"/>
      <c r="P371" s="15"/>
      <c r="Q371" s="21"/>
      <c r="R371" s="21"/>
      <c r="S371" s="21"/>
      <c r="T371" s="31" t="n">
        <v>45880</v>
      </c>
      <c r="U371" s="24"/>
    </row>
    <row r="372" s="25" customFormat="true" ht="41.4" hidden="false" customHeight="false" outlineLevel="0" collapsed="false">
      <c r="A372" s="36" t="s">
        <v>971</v>
      </c>
      <c r="B372" s="26" t="s">
        <v>972</v>
      </c>
      <c r="C372" s="14" t="s">
        <v>148</v>
      </c>
      <c r="D372" s="15" t="n">
        <v>6</v>
      </c>
      <c r="E372" s="27" t="n">
        <f aca="false">F372/2</f>
        <v>2973</v>
      </c>
      <c r="F372" s="35" t="n">
        <f aca="false">FLOOR(4955*1.2,1)</f>
        <v>5946</v>
      </c>
      <c r="G372" s="15" t="s">
        <v>36</v>
      </c>
      <c r="H372" s="17" t="s">
        <v>25</v>
      </c>
      <c r="I372" s="18" t="s">
        <v>26</v>
      </c>
      <c r="J372" s="15" t="n">
        <v>2020</v>
      </c>
      <c r="K372" s="19" t="s">
        <v>27</v>
      </c>
      <c r="L372" s="15" t="s">
        <v>28</v>
      </c>
      <c r="M372" s="15" t="s">
        <v>33</v>
      </c>
      <c r="N372" s="17" t="s">
        <v>83</v>
      </c>
      <c r="O372" s="15"/>
      <c r="P372" s="15"/>
      <c r="Q372" s="21"/>
      <c r="R372" s="21"/>
      <c r="S372" s="21"/>
      <c r="T372" s="31" t="n">
        <v>45882</v>
      </c>
      <c r="U372" s="34"/>
    </row>
    <row r="373" s="25" customFormat="true" ht="41.4" hidden="false" customHeight="false" outlineLevel="0" collapsed="false">
      <c r="A373" s="36" t="s">
        <v>973</v>
      </c>
      <c r="B373" s="26"/>
      <c r="C373" s="14" t="s">
        <v>864</v>
      </c>
      <c r="D373" s="15" t="n">
        <v>4</v>
      </c>
      <c r="E373" s="27" t="n">
        <f aca="false">F373/2</f>
        <v>50</v>
      </c>
      <c r="F373" s="16" t="n">
        <v>100</v>
      </c>
      <c r="G373" s="15" t="s">
        <v>36</v>
      </c>
      <c r="H373" s="17" t="s">
        <v>25</v>
      </c>
      <c r="I373" s="18" t="s">
        <v>26</v>
      </c>
      <c r="J373" s="15" t="n">
        <v>2023</v>
      </c>
      <c r="K373" s="19" t="s">
        <v>553</v>
      </c>
      <c r="L373" s="15" t="s">
        <v>28</v>
      </c>
      <c r="M373" s="15" t="s">
        <v>33</v>
      </c>
      <c r="N373" s="17" t="s">
        <v>160</v>
      </c>
      <c r="O373" s="15" t="s">
        <v>46</v>
      </c>
      <c r="P373" s="15"/>
      <c r="Q373" s="21"/>
      <c r="R373" s="21"/>
      <c r="S373" s="21"/>
      <c r="T373" s="28"/>
      <c r="U373" s="24"/>
    </row>
    <row r="374" s="25" customFormat="true" ht="41.4" hidden="false" customHeight="false" outlineLevel="0" collapsed="false">
      <c r="A374" s="36" t="s">
        <v>974</v>
      </c>
      <c r="B374" s="26" t="s">
        <v>975</v>
      </c>
      <c r="C374" s="14" t="s">
        <v>976</v>
      </c>
      <c r="D374" s="15" t="n">
        <v>6</v>
      </c>
      <c r="E374" s="27" t="n">
        <f aca="false">F374/2</f>
        <v>2300</v>
      </c>
      <c r="F374" s="16" t="n">
        <v>4600</v>
      </c>
      <c r="G374" s="15" t="s">
        <v>354</v>
      </c>
      <c r="H374" s="17" t="s">
        <v>25</v>
      </c>
      <c r="I374" s="18" t="s">
        <v>26</v>
      </c>
      <c r="J374" s="15" t="n">
        <v>2000</v>
      </c>
      <c r="K374" s="19" t="s">
        <v>27</v>
      </c>
      <c r="L374" s="15" t="s">
        <v>28</v>
      </c>
      <c r="M374" s="15" t="s">
        <v>33</v>
      </c>
      <c r="N374" s="17" t="s">
        <v>160</v>
      </c>
      <c r="O374" s="15"/>
      <c r="P374" s="15"/>
      <c r="Q374" s="21" t="s">
        <v>47</v>
      </c>
      <c r="R374" s="21"/>
      <c r="S374" s="21"/>
      <c r="T374" s="28"/>
      <c r="U374" s="24" t="s">
        <v>977</v>
      </c>
    </row>
    <row r="375" s="25" customFormat="true" ht="41.4" hidden="false" customHeight="false" outlineLevel="0" collapsed="false">
      <c r="A375" s="36" t="s">
        <v>978</v>
      </c>
      <c r="B375" s="26" t="s">
        <v>979</v>
      </c>
      <c r="C375" s="14" t="s">
        <v>980</v>
      </c>
      <c r="D375" s="15" t="n">
        <v>4</v>
      </c>
      <c r="E375" s="27" t="n">
        <f aca="false">F375/2</f>
        <v>4400</v>
      </c>
      <c r="F375" s="16" t="n">
        <v>8800</v>
      </c>
      <c r="G375" s="15" t="s">
        <v>36</v>
      </c>
      <c r="H375" s="17" t="s">
        <v>25</v>
      </c>
      <c r="I375" s="18" t="s">
        <v>26</v>
      </c>
      <c r="J375" s="15" t="n">
        <v>2017</v>
      </c>
      <c r="K375" s="19" t="s">
        <v>27</v>
      </c>
      <c r="L375" s="15" t="s">
        <v>28</v>
      </c>
      <c r="M375" s="15" t="s">
        <v>33</v>
      </c>
      <c r="N375" s="17" t="s">
        <v>126</v>
      </c>
      <c r="O375" s="15"/>
      <c r="P375" s="15"/>
      <c r="Q375" s="21"/>
      <c r="R375" s="21"/>
      <c r="S375" s="21"/>
      <c r="T375" s="28"/>
      <c r="U375" s="24"/>
    </row>
    <row r="376" s="25" customFormat="true" ht="41.4" hidden="false" customHeight="false" outlineLevel="0" collapsed="false">
      <c r="A376" s="36" t="s">
        <v>981</v>
      </c>
      <c r="B376" s="26" t="s">
        <v>982</v>
      </c>
      <c r="C376" s="14" t="s">
        <v>64</v>
      </c>
      <c r="D376" s="15" t="n">
        <v>2</v>
      </c>
      <c r="E376" s="27" t="n">
        <f aca="false">F376/2</f>
        <v>540</v>
      </c>
      <c r="F376" s="16" t="n">
        <v>1080</v>
      </c>
      <c r="G376" s="15" t="s">
        <v>36</v>
      </c>
      <c r="H376" s="17" t="s">
        <v>25</v>
      </c>
      <c r="I376" s="18" t="s">
        <v>26</v>
      </c>
      <c r="J376" s="15" t="n">
        <v>2020</v>
      </c>
      <c r="K376" s="19" t="s">
        <v>65</v>
      </c>
      <c r="L376" s="15" t="s">
        <v>28</v>
      </c>
      <c r="M376" s="15" t="s">
        <v>33</v>
      </c>
      <c r="N376" s="17"/>
      <c r="O376" s="15"/>
      <c r="P376" s="15"/>
      <c r="Q376" s="21"/>
      <c r="R376" s="21"/>
      <c r="S376" s="21"/>
      <c r="T376" s="28"/>
      <c r="U376" s="34"/>
    </row>
    <row r="377" s="25" customFormat="true" ht="41.4" hidden="false" customHeight="false" outlineLevel="0" collapsed="false">
      <c r="A377" s="36" t="s">
        <v>983</v>
      </c>
      <c r="B377" s="26" t="s">
        <v>984</v>
      </c>
      <c r="C377" s="14" t="s">
        <v>985</v>
      </c>
      <c r="D377" s="15" t="n">
        <v>6</v>
      </c>
      <c r="E377" s="27" t="n">
        <f aca="false">F377/2</f>
        <v>1500</v>
      </c>
      <c r="F377" s="16" t="n">
        <v>3000</v>
      </c>
      <c r="G377" s="15" t="s">
        <v>36</v>
      </c>
      <c r="H377" s="17" t="s">
        <v>25</v>
      </c>
      <c r="I377" s="18" t="s">
        <v>26</v>
      </c>
      <c r="J377" s="15" t="n">
        <v>2019</v>
      </c>
      <c r="K377" s="19" t="s">
        <v>27</v>
      </c>
      <c r="L377" s="15" t="s">
        <v>28</v>
      </c>
      <c r="M377" s="15" t="s">
        <v>33</v>
      </c>
      <c r="N377" s="20" t="s">
        <v>83</v>
      </c>
      <c r="O377" s="15" t="s">
        <v>203</v>
      </c>
      <c r="P377" s="15"/>
      <c r="Q377" s="21"/>
      <c r="R377" s="21"/>
      <c r="S377" s="21"/>
      <c r="T377" s="31" t="n">
        <v>45904</v>
      </c>
      <c r="U377" s="34"/>
    </row>
    <row r="378" s="25" customFormat="true" ht="41.4" hidden="false" customHeight="false" outlineLevel="0" collapsed="false">
      <c r="A378" s="36" t="s">
        <v>986</v>
      </c>
      <c r="B378" s="26" t="s">
        <v>987</v>
      </c>
      <c r="C378" s="14" t="s">
        <v>988</v>
      </c>
      <c r="D378" s="15" t="n">
        <v>6</v>
      </c>
      <c r="E378" s="27" t="n">
        <f aca="false">F378/2</f>
        <v>2842.5</v>
      </c>
      <c r="F378" s="16" t="n">
        <v>5685</v>
      </c>
      <c r="G378" s="15" t="s">
        <v>24</v>
      </c>
      <c r="H378" s="17" t="s">
        <v>25</v>
      </c>
      <c r="I378" s="18" t="s">
        <v>26</v>
      </c>
      <c r="J378" s="15" t="n">
        <v>2017</v>
      </c>
      <c r="K378" s="19" t="s">
        <v>27</v>
      </c>
      <c r="L378" s="15" t="s">
        <v>28</v>
      </c>
      <c r="M378" s="15" t="s">
        <v>33</v>
      </c>
      <c r="N378" s="17" t="s">
        <v>40</v>
      </c>
      <c r="O378" s="15"/>
      <c r="P378" s="15"/>
      <c r="Q378" s="21" t="s">
        <v>41</v>
      </c>
      <c r="R378" s="21"/>
      <c r="S378" s="21"/>
      <c r="T378" s="28"/>
      <c r="U378" s="24"/>
    </row>
    <row r="379" s="25" customFormat="true" ht="41.4" hidden="false" customHeight="false" outlineLevel="0" collapsed="false">
      <c r="A379" s="36" t="s">
        <v>989</v>
      </c>
      <c r="B379" s="26" t="s">
        <v>990</v>
      </c>
      <c r="C379" s="14" t="s">
        <v>157</v>
      </c>
      <c r="D379" s="15" t="n">
        <v>4</v>
      </c>
      <c r="E379" s="27" t="n">
        <f aca="false">F379/2</f>
        <v>650</v>
      </c>
      <c r="F379" s="16" t="n">
        <v>1300</v>
      </c>
      <c r="G379" s="15" t="s">
        <v>36</v>
      </c>
      <c r="H379" s="17" t="s">
        <v>25</v>
      </c>
      <c r="I379" s="18" t="s">
        <v>26</v>
      </c>
      <c r="J379" s="15" t="n">
        <v>2017</v>
      </c>
      <c r="K379" s="19" t="s">
        <v>27</v>
      </c>
      <c r="L379" s="15" t="s">
        <v>28</v>
      </c>
      <c r="M379" s="15" t="s">
        <v>33</v>
      </c>
      <c r="N379" s="17" t="s">
        <v>45</v>
      </c>
      <c r="O379" s="15"/>
      <c r="P379" s="15"/>
      <c r="Q379" s="21"/>
      <c r="R379" s="21"/>
      <c r="S379" s="21"/>
      <c r="T379" s="28"/>
      <c r="U379" s="24"/>
    </row>
    <row r="380" s="25" customFormat="true" ht="41.4" hidden="false" customHeight="false" outlineLevel="0" collapsed="false">
      <c r="A380" s="36" t="s">
        <v>991</v>
      </c>
      <c r="B380" s="26" t="s">
        <v>992</v>
      </c>
      <c r="C380" s="14" t="s">
        <v>993</v>
      </c>
      <c r="D380" s="15" t="n">
        <v>6</v>
      </c>
      <c r="E380" s="27" t="n">
        <f aca="false">F380/2</f>
        <v>50</v>
      </c>
      <c r="F380" s="16" t="n">
        <v>100</v>
      </c>
      <c r="G380" s="15" t="s">
        <v>36</v>
      </c>
      <c r="H380" s="17" t="s">
        <v>25</v>
      </c>
      <c r="I380" s="18" t="s">
        <v>26</v>
      </c>
      <c r="J380" s="15" t="n">
        <v>2022</v>
      </c>
      <c r="K380" s="19" t="s">
        <v>27</v>
      </c>
      <c r="L380" s="15" t="s">
        <v>28</v>
      </c>
      <c r="M380" s="15" t="s">
        <v>33</v>
      </c>
      <c r="N380" s="17" t="s">
        <v>83</v>
      </c>
      <c r="O380" s="15"/>
      <c r="P380" s="15"/>
      <c r="Q380" s="21"/>
      <c r="R380" s="21"/>
      <c r="S380" s="21"/>
      <c r="T380" s="28"/>
      <c r="U380" s="24"/>
    </row>
    <row r="381" s="25" customFormat="true" ht="41.4" hidden="false" customHeight="false" outlineLevel="0" collapsed="false">
      <c r="A381" s="36" t="s">
        <v>994</v>
      </c>
      <c r="B381" s="26" t="s">
        <v>995</v>
      </c>
      <c r="C381" s="14"/>
      <c r="D381" s="15" t="n">
        <v>2</v>
      </c>
      <c r="E381" s="27" t="n">
        <f aca="false">F381/2</f>
        <v>242.5</v>
      </c>
      <c r="F381" s="16" t="n">
        <v>485</v>
      </c>
      <c r="G381" s="15" t="s">
        <v>24</v>
      </c>
      <c r="H381" s="17" t="s">
        <v>25</v>
      </c>
      <c r="I381" s="18" t="s">
        <v>26</v>
      </c>
      <c r="J381" s="15" t="n">
        <v>2015</v>
      </c>
      <c r="K381" s="19" t="s">
        <v>52</v>
      </c>
      <c r="L381" s="15" t="s">
        <v>28</v>
      </c>
      <c r="M381" s="15" t="s">
        <v>33</v>
      </c>
      <c r="N381" s="17"/>
      <c r="O381" s="15"/>
      <c r="P381" s="15"/>
      <c r="Q381" s="21" t="s">
        <v>881</v>
      </c>
      <c r="R381" s="21"/>
      <c r="S381" s="21"/>
      <c r="T381" s="28"/>
      <c r="U381" s="24"/>
    </row>
    <row r="382" s="25" customFormat="true" ht="41.4" hidden="false" customHeight="false" outlineLevel="0" collapsed="false">
      <c r="A382" s="36" t="s">
        <v>996</v>
      </c>
      <c r="B382" s="26" t="s">
        <v>997</v>
      </c>
      <c r="C382" s="14" t="s">
        <v>307</v>
      </c>
      <c r="D382" s="15" t="n">
        <v>6</v>
      </c>
      <c r="E382" s="27" t="n">
        <f aca="false">F382/2</f>
        <v>50</v>
      </c>
      <c r="F382" s="16" t="n">
        <v>100</v>
      </c>
      <c r="G382" s="15" t="s">
        <v>36</v>
      </c>
      <c r="H382" s="17" t="s">
        <v>25</v>
      </c>
      <c r="I382" s="18" t="s">
        <v>26</v>
      </c>
      <c r="J382" s="15" t="n">
        <v>2019</v>
      </c>
      <c r="K382" s="19" t="s">
        <v>27</v>
      </c>
      <c r="L382" s="15" t="s">
        <v>28</v>
      </c>
      <c r="M382" s="15" t="s">
        <v>33</v>
      </c>
      <c r="N382" s="17" t="s">
        <v>83</v>
      </c>
      <c r="O382" s="15"/>
      <c r="P382" s="15"/>
      <c r="Q382" s="21"/>
      <c r="R382" s="21"/>
      <c r="S382" s="21"/>
      <c r="T382" s="28"/>
      <c r="U382" s="34"/>
    </row>
    <row r="383" s="25" customFormat="true" ht="41.4" hidden="false" customHeight="false" outlineLevel="0" collapsed="false">
      <c r="A383" s="36" t="s">
        <v>998</v>
      </c>
      <c r="B383" s="26" t="s">
        <v>999</v>
      </c>
      <c r="C383" s="14" t="s">
        <v>938</v>
      </c>
      <c r="D383" s="15" t="n">
        <v>6</v>
      </c>
      <c r="E383" s="27" t="n">
        <f aca="false">F383/2</f>
        <v>1728</v>
      </c>
      <c r="F383" s="16" t="n">
        <f aca="false">2880*1.2</f>
        <v>3456</v>
      </c>
      <c r="G383" s="15" t="s">
        <v>24</v>
      </c>
      <c r="H383" s="17" t="s">
        <v>25</v>
      </c>
      <c r="I383" s="18" t="s">
        <v>26</v>
      </c>
      <c r="J383" s="15" t="n">
        <v>2006</v>
      </c>
      <c r="K383" s="19" t="s">
        <v>27</v>
      </c>
      <c r="L383" s="15" t="s">
        <v>28</v>
      </c>
      <c r="M383" s="15" t="s">
        <v>33</v>
      </c>
      <c r="N383" s="17" t="s">
        <v>83</v>
      </c>
      <c r="O383" s="15"/>
      <c r="P383" s="15"/>
      <c r="Q383" s="21" t="s">
        <v>939</v>
      </c>
      <c r="R383" s="21"/>
      <c r="S383" s="21"/>
      <c r="T383" s="28"/>
      <c r="U383" s="24" t="s">
        <v>1000</v>
      </c>
    </row>
    <row r="384" s="25" customFormat="true" ht="41.4" hidden="false" customHeight="false" outlineLevel="0" collapsed="false">
      <c r="A384" s="36" t="s">
        <v>1001</v>
      </c>
      <c r="B384" s="26"/>
      <c r="C384" s="14" t="s">
        <v>741</v>
      </c>
      <c r="D384" s="15" t="n">
        <v>4</v>
      </c>
      <c r="E384" s="16" t="n">
        <f aca="false">F384/2</f>
        <v>50</v>
      </c>
      <c r="F384" s="16" t="n">
        <v>100</v>
      </c>
      <c r="G384" s="15" t="s">
        <v>36</v>
      </c>
      <c r="H384" s="17" t="s">
        <v>25</v>
      </c>
      <c r="I384" s="18" t="s">
        <v>26</v>
      </c>
      <c r="J384" s="15" t="n">
        <v>2025</v>
      </c>
      <c r="K384" s="19" t="s">
        <v>27</v>
      </c>
      <c r="L384" s="15" t="s">
        <v>28</v>
      </c>
      <c r="M384" s="15" t="s">
        <v>33</v>
      </c>
      <c r="N384" s="17"/>
      <c r="O384" s="15"/>
      <c r="P384" s="15"/>
      <c r="Q384" s="21"/>
      <c r="R384" s="21"/>
      <c r="S384" s="21"/>
      <c r="T384" s="28"/>
      <c r="U384" s="24"/>
    </row>
    <row r="385" s="25" customFormat="true" ht="41.4" hidden="false" customHeight="false" outlineLevel="0" collapsed="false">
      <c r="A385" s="36" t="s">
        <v>1002</v>
      </c>
      <c r="B385" s="26" t="s">
        <v>1003</v>
      </c>
      <c r="C385" s="14" t="s">
        <v>1004</v>
      </c>
      <c r="D385" s="15" t="n">
        <v>6</v>
      </c>
      <c r="E385" s="27" t="n">
        <f aca="false">F385/2</f>
        <v>2250</v>
      </c>
      <c r="F385" s="16" t="n">
        <v>4500</v>
      </c>
      <c r="G385" s="15" t="s">
        <v>24</v>
      </c>
      <c r="H385" s="17" t="s">
        <v>25</v>
      </c>
      <c r="I385" s="18" t="s">
        <v>26</v>
      </c>
      <c r="J385" s="15" t="n">
        <v>2017</v>
      </c>
      <c r="K385" s="19" t="s">
        <v>27</v>
      </c>
      <c r="L385" s="15" t="s">
        <v>28</v>
      </c>
      <c r="M385" s="15" t="s">
        <v>33</v>
      </c>
      <c r="N385" s="17" t="s">
        <v>167</v>
      </c>
      <c r="O385" s="15"/>
      <c r="P385" s="15"/>
      <c r="Q385" s="21" t="s">
        <v>1005</v>
      </c>
      <c r="R385" s="21"/>
      <c r="S385" s="21"/>
      <c r="T385" s="28"/>
      <c r="U385" s="24" t="s">
        <v>1006</v>
      </c>
    </row>
    <row r="386" s="25" customFormat="true" ht="41.4" hidden="false" customHeight="false" outlineLevel="0" collapsed="false">
      <c r="A386" s="36" t="s">
        <v>1007</v>
      </c>
      <c r="B386" s="26" t="s">
        <v>1008</v>
      </c>
      <c r="C386" s="14" t="s">
        <v>816</v>
      </c>
      <c r="D386" s="15" t="n">
        <v>6</v>
      </c>
      <c r="E386" s="27" t="n">
        <f aca="false">F386/2</f>
        <v>900</v>
      </c>
      <c r="F386" s="16" t="n">
        <v>1800</v>
      </c>
      <c r="G386" s="15" t="s">
        <v>24</v>
      </c>
      <c r="H386" s="17" t="s">
        <v>25</v>
      </c>
      <c r="I386" s="18" t="s">
        <v>26</v>
      </c>
      <c r="J386" s="15" t="n">
        <v>2005</v>
      </c>
      <c r="K386" s="19" t="s">
        <v>27</v>
      </c>
      <c r="L386" s="15" t="s">
        <v>28</v>
      </c>
      <c r="M386" s="15" t="s">
        <v>33</v>
      </c>
      <c r="N386" s="17" t="s">
        <v>83</v>
      </c>
      <c r="O386" s="15"/>
      <c r="P386" s="15"/>
      <c r="Q386" s="21" t="s">
        <v>302</v>
      </c>
      <c r="R386" s="21"/>
      <c r="S386" s="21"/>
      <c r="T386" s="28"/>
      <c r="U386" s="24"/>
    </row>
    <row r="387" s="25" customFormat="true" ht="41.4" hidden="false" customHeight="false" outlineLevel="0" collapsed="false">
      <c r="A387" s="36" t="s">
        <v>1009</v>
      </c>
      <c r="B387" s="26" t="s">
        <v>1010</v>
      </c>
      <c r="C387" s="14" t="s">
        <v>1011</v>
      </c>
      <c r="D387" s="15" t="n">
        <v>6</v>
      </c>
      <c r="E387" s="27" t="n">
        <f aca="false">F387/2</f>
        <v>3060</v>
      </c>
      <c r="F387" s="16" t="n">
        <v>6120</v>
      </c>
      <c r="G387" s="15" t="s">
        <v>24</v>
      </c>
      <c r="H387" s="17" t="s">
        <v>25</v>
      </c>
      <c r="I387" s="18" t="s">
        <v>26</v>
      </c>
      <c r="J387" s="15" t="n">
        <v>2003</v>
      </c>
      <c r="K387" s="19" t="s">
        <v>27</v>
      </c>
      <c r="L387" s="15" t="s">
        <v>28</v>
      </c>
      <c r="M387" s="15" t="s">
        <v>33</v>
      </c>
      <c r="N387" s="17"/>
      <c r="O387" s="15"/>
      <c r="P387" s="15"/>
      <c r="Q387" s="21" t="s">
        <v>1012</v>
      </c>
      <c r="R387" s="21"/>
      <c r="S387" s="21"/>
      <c r="T387" s="28"/>
      <c r="U387" s="24" t="s">
        <v>1013</v>
      </c>
    </row>
    <row r="388" s="25" customFormat="true" ht="41.4" hidden="false" customHeight="false" outlineLevel="0" collapsed="false">
      <c r="A388" s="36" t="s">
        <v>1014</v>
      </c>
      <c r="B388" s="26" t="s">
        <v>1015</v>
      </c>
      <c r="C388" s="14" t="s">
        <v>64</v>
      </c>
      <c r="D388" s="15" t="n">
        <v>4</v>
      </c>
      <c r="E388" s="27" t="n">
        <f aca="false">F388/2</f>
        <v>1080</v>
      </c>
      <c r="F388" s="16" t="n">
        <v>2160</v>
      </c>
      <c r="G388" s="15" t="s">
        <v>36</v>
      </c>
      <c r="H388" s="17" t="s">
        <v>25</v>
      </c>
      <c r="I388" s="18" t="s">
        <v>26</v>
      </c>
      <c r="J388" s="15" t="n">
        <v>2020</v>
      </c>
      <c r="K388" s="19" t="s">
        <v>65</v>
      </c>
      <c r="L388" s="15" t="s">
        <v>28</v>
      </c>
      <c r="M388" s="15" t="s">
        <v>33</v>
      </c>
      <c r="N388" s="17"/>
      <c r="O388" s="15"/>
      <c r="P388" s="15"/>
      <c r="Q388" s="21"/>
      <c r="R388" s="21"/>
      <c r="S388" s="21"/>
      <c r="T388" s="28"/>
      <c r="U388" s="34"/>
    </row>
    <row r="389" s="25" customFormat="true" ht="41.4" hidden="false" customHeight="false" outlineLevel="0" collapsed="false">
      <c r="A389" s="42" t="s">
        <v>1016</v>
      </c>
      <c r="B389" s="26"/>
      <c r="C389" s="14" t="s">
        <v>264</v>
      </c>
      <c r="D389" s="30" t="n">
        <v>12</v>
      </c>
      <c r="E389" s="16" t="n">
        <f aca="false">F389/2</f>
        <v>47709</v>
      </c>
      <c r="F389" s="16" t="n">
        <f aca="false">102600*0.93</f>
        <v>95418</v>
      </c>
      <c r="G389" s="15" t="s">
        <v>36</v>
      </c>
      <c r="H389" s="17" t="s">
        <v>25</v>
      </c>
      <c r="I389" s="18" t="s">
        <v>26</v>
      </c>
      <c r="J389" s="15" t="n">
        <v>2024</v>
      </c>
      <c r="K389" s="19" t="s">
        <v>27</v>
      </c>
      <c r="L389" s="15" t="s">
        <v>28</v>
      </c>
      <c r="M389" s="15" t="s">
        <v>33</v>
      </c>
      <c r="N389" s="30" t="s">
        <v>72</v>
      </c>
      <c r="O389" s="60"/>
      <c r="P389" s="60"/>
      <c r="Q389" s="21"/>
      <c r="R389" s="21"/>
      <c r="S389" s="40"/>
      <c r="T389" s="31" t="n">
        <v>45880</v>
      </c>
      <c r="U389" s="41"/>
    </row>
    <row r="390" s="25" customFormat="true" ht="41.4" hidden="false" customHeight="false" outlineLevel="0" collapsed="false">
      <c r="A390" s="36" t="s">
        <v>1017</v>
      </c>
      <c r="B390" s="26" t="s">
        <v>1018</v>
      </c>
      <c r="C390" s="14" t="s">
        <v>296</v>
      </c>
      <c r="D390" s="15" t="n">
        <v>6</v>
      </c>
      <c r="E390" s="27" t="n">
        <v>50</v>
      </c>
      <c r="F390" s="16" t="n">
        <v>100</v>
      </c>
      <c r="G390" s="15" t="s">
        <v>36</v>
      </c>
      <c r="H390" s="17" t="s">
        <v>25</v>
      </c>
      <c r="I390" s="18" t="s">
        <v>26</v>
      </c>
      <c r="J390" s="15"/>
      <c r="K390" s="19" t="s">
        <v>27</v>
      </c>
      <c r="L390" s="15" t="s">
        <v>28</v>
      </c>
      <c r="M390" s="15" t="s">
        <v>33</v>
      </c>
      <c r="N390" s="17" t="s">
        <v>1019</v>
      </c>
      <c r="O390" s="15"/>
      <c r="P390" s="15"/>
      <c r="Q390" s="21" t="s">
        <v>78</v>
      </c>
      <c r="R390" s="21"/>
      <c r="S390" s="21"/>
      <c r="T390" s="28"/>
      <c r="U390" s="24"/>
    </row>
    <row r="391" s="25" customFormat="true" ht="41.4" hidden="false" customHeight="false" outlineLevel="0" collapsed="false">
      <c r="A391" s="36" t="s">
        <v>1020</v>
      </c>
      <c r="B391" s="26" t="s">
        <v>1021</v>
      </c>
      <c r="C391" s="14" t="s">
        <v>938</v>
      </c>
      <c r="D391" s="15" t="n">
        <v>4</v>
      </c>
      <c r="E391" s="27" t="n">
        <f aca="false">F391/2</f>
        <v>1152</v>
      </c>
      <c r="F391" s="16" t="n">
        <f aca="false">1920*1.2</f>
        <v>2304</v>
      </c>
      <c r="G391" s="15" t="s">
        <v>24</v>
      </c>
      <c r="H391" s="17" t="s">
        <v>25</v>
      </c>
      <c r="I391" s="18" t="s">
        <v>26</v>
      </c>
      <c r="J391" s="15" t="n">
        <v>2017</v>
      </c>
      <c r="K391" s="19" t="s">
        <v>27</v>
      </c>
      <c r="L391" s="15" t="s">
        <v>28</v>
      </c>
      <c r="M391" s="15" t="s">
        <v>33</v>
      </c>
      <c r="N391" s="17" t="s">
        <v>83</v>
      </c>
      <c r="O391" s="15"/>
      <c r="P391" s="15"/>
      <c r="Q391" s="21" t="s">
        <v>302</v>
      </c>
      <c r="R391" s="21"/>
      <c r="S391" s="21"/>
      <c r="T391" s="28"/>
      <c r="U391" s="24"/>
    </row>
    <row r="392" s="25" customFormat="true" ht="41.4" hidden="false" customHeight="false" outlineLevel="0" collapsed="false">
      <c r="A392" s="36" t="s">
        <v>1022</v>
      </c>
      <c r="B392" s="26" t="s">
        <v>1023</v>
      </c>
      <c r="C392" s="14"/>
      <c r="D392" s="15" t="n">
        <v>4</v>
      </c>
      <c r="E392" s="27" t="n">
        <f aca="false">F392/2</f>
        <v>800</v>
      </c>
      <c r="F392" s="16" t="n">
        <v>1600</v>
      </c>
      <c r="G392" s="15" t="s">
        <v>24</v>
      </c>
      <c r="H392" s="17" t="s">
        <v>25</v>
      </c>
      <c r="I392" s="18" t="s">
        <v>26</v>
      </c>
      <c r="J392" s="15" t="n">
        <v>1999</v>
      </c>
      <c r="K392" s="19" t="s">
        <v>27</v>
      </c>
      <c r="L392" s="15" t="s">
        <v>28</v>
      </c>
      <c r="M392" s="15" t="s">
        <v>33</v>
      </c>
      <c r="N392" s="17" t="s">
        <v>160</v>
      </c>
      <c r="O392" s="15"/>
      <c r="P392" s="15"/>
      <c r="Q392" s="21" t="s">
        <v>47</v>
      </c>
      <c r="R392" s="21"/>
      <c r="S392" s="21"/>
      <c r="T392" s="28"/>
      <c r="U392" s="24" t="s">
        <v>1024</v>
      </c>
    </row>
    <row r="393" s="25" customFormat="true" ht="45.6" hidden="false" customHeight="false" outlineLevel="0" collapsed="false">
      <c r="A393" s="36" t="s">
        <v>1025</v>
      </c>
      <c r="B393" s="26" t="s">
        <v>1026</v>
      </c>
      <c r="C393" s="14" t="s">
        <v>1027</v>
      </c>
      <c r="D393" s="15" t="n">
        <v>12</v>
      </c>
      <c r="E393" s="27" t="n">
        <f aca="false">F393/2</f>
        <v>5271</v>
      </c>
      <c r="F393" s="16" t="n">
        <f aca="false">CEILING(6600*1.1*1.2*1.1*1.1,1)</f>
        <v>10542</v>
      </c>
      <c r="G393" s="15" t="s">
        <v>24</v>
      </c>
      <c r="H393" s="17" t="s">
        <v>25</v>
      </c>
      <c r="I393" s="18" t="s">
        <v>26</v>
      </c>
      <c r="J393" s="15" t="n">
        <v>2000</v>
      </c>
      <c r="K393" s="19" t="s">
        <v>27</v>
      </c>
      <c r="L393" s="15" t="s">
        <v>28</v>
      </c>
      <c r="M393" s="15" t="s">
        <v>33</v>
      </c>
      <c r="N393" s="17" t="s">
        <v>719</v>
      </c>
      <c r="O393" s="15"/>
      <c r="P393" s="15" t="s">
        <v>1028</v>
      </c>
      <c r="Q393" s="21" t="s">
        <v>280</v>
      </c>
      <c r="R393" s="21"/>
      <c r="S393" s="21"/>
      <c r="T393" s="28"/>
      <c r="U393" s="24" t="s">
        <v>1029</v>
      </c>
    </row>
    <row r="394" s="25" customFormat="true" ht="41.4" hidden="false" customHeight="false" outlineLevel="0" collapsed="false">
      <c r="A394" s="36" t="s">
        <v>1030</v>
      </c>
      <c r="B394" s="26" t="s">
        <v>1031</v>
      </c>
      <c r="C394" s="14" t="s">
        <v>1032</v>
      </c>
      <c r="D394" s="15" t="n">
        <v>12</v>
      </c>
      <c r="E394" s="27" t="n">
        <f aca="false">F394/2</f>
        <v>16800</v>
      </c>
      <c r="F394" s="16" t="n">
        <v>33600</v>
      </c>
      <c r="G394" s="15" t="s">
        <v>24</v>
      </c>
      <c r="H394" s="17" t="s">
        <v>25</v>
      </c>
      <c r="I394" s="18" t="s">
        <v>26</v>
      </c>
      <c r="J394" s="15" t="n">
        <v>2006</v>
      </c>
      <c r="K394" s="19" t="s">
        <v>27</v>
      </c>
      <c r="L394" s="15" t="s">
        <v>28</v>
      </c>
      <c r="M394" s="15" t="s">
        <v>33</v>
      </c>
      <c r="N394" s="17" t="s">
        <v>53</v>
      </c>
      <c r="O394" s="15"/>
      <c r="P394" s="15"/>
      <c r="Q394" s="21" t="s">
        <v>47</v>
      </c>
      <c r="R394" s="21"/>
      <c r="S394" s="21"/>
      <c r="T394" s="28"/>
      <c r="U394" s="24" t="s">
        <v>1033</v>
      </c>
    </row>
    <row r="395" s="25" customFormat="true" ht="41.4" hidden="false" customHeight="false" outlineLevel="0" collapsed="false">
      <c r="A395" s="36" t="s">
        <v>1034</v>
      </c>
      <c r="B395" s="26" t="s">
        <v>1035</v>
      </c>
      <c r="C395" s="14" t="s">
        <v>1036</v>
      </c>
      <c r="D395" s="15" t="n">
        <v>2</v>
      </c>
      <c r="E395" s="27" t="n">
        <f aca="false">F395/2</f>
        <v>500</v>
      </c>
      <c r="F395" s="16" t="n">
        <v>1000</v>
      </c>
      <c r="G395" s="15" t="s">
        <v>354</v>
      </c>
      <c r="H395" s="17" t="s">
        <v>25</v>
      </c>
      <c r="I395" s="18" t="s">
        <v>26</v>
      </c>
      <c r="J395" s="15" t="n">
        <v>2009</v>
      </c>
      <c r="K395" s="19" t="s">
        <v>27</v>
      </c>
      <c r="L395" s="15" t="s">
        <v>28</v>
      </c>
      <c r="M395" s="15" t="s">
        <v>33</v>
      </c>
      <c r="N395" s="17" t="s">
        <v>160</v>
      </c>
      <c r="O395" s="15"/>
      <c r="P395" s="15"/>
      <c r="Q395" s="21" t="s">
        <v>78</v>
      </c>
      <c r="R395" s="21"/>
      <c r="S395" s="21"/>
      <c r="T395" s="28"/>
      <c r="U395" s="24" t="s">
        <v>1037</v>
      </c>
    </row>
    <row r="396" s="25" customFormat="true" ht="41.4" hidden="false" customHeight="false" outlineLevel="0" collapsed="false">
      <c r="A396" s="36" t="s">
        <v>1038</v>
      </c>
      <c r="B396" s="26" t="s">
        <v>1039</v>
      </c>
      <c r="C396" s="14" t="s">
        <v>246</v>
      </c>
      <c r="D396" s="15" t="n">
        <v>6</v>
      </c>
      <c r="E396" s="27" t="n">
        <f aca="false">F396/2</f>
        <v>3012.5</v>
      </c>
      <c r="F396" s="38" t="n">
        <v>6025</v>
      </c>
      <c r="G396" s="15" t="s">
        <v>24</v>
      </c>
      <c r="H396" s="17" t="s">
        <v>25</v>
      </c>
      <c r="I396" s="18" t="s">
        <v>26</v>
      </c>
      <c r="J396" s="15" t="n">
        <v>2000</v>
      </c>
      <c r="K396" s="19" t="s">
        <v>27</v>
      </c>
      <c r="L396" s="15" t="s">
        <v>28</v>
      </c>
      <c r="M396" s="15" t="s">
        <v>33</v>
      </c>
      <c r="N396" s="17" t="s">
        <v>160</v>
      </c>
      <c r="O396" s="15"/>
      <c r="P396" s="15"/>
      <c r="Q396" s="21" t="s">
        <v>280</v>
      </c>
      <c r="R396" s="21"/>
      <c r="S396" s="21"/>
      <c r="T396" s="31" t="n">
        <v>45882</v>
      </c>
      <c r="U396" s="24" t="s">
        <v>1040</v>
      </c>
    </row>
    <row r="397" s="25" customFormat="true" ht="41.4" hidden="false" customHeight="false" outlineLevel="0" collapsed="false">
      <c r="A397" s="36" t="s">
        <v>1041</v>
      </c>
      <c r="B397" s="26"/>
      <c r="C397" s="14" t="s">
        <v>448</v>
      </c>
      <c r="D397" s="15" t="n">
        <v>4</v>
      </c>
      <c r="E397" s="16" t="n">
        <f aca="false">F397/2</f>
        <v>1560</v>
      </c>
      <c r="F397" s="16" t="n">
        <f aca="false">2600*1.2</f>
        <v>3120</v>
      </c>
      <c r="G397" s="15" t="s">
        <v>36</v>
      </c>
      <c r="H397" s="17" t="s">
        <v>25</v>
      </c>
      <c r="I397" s="18" t="s">
        <v>26</v>
      </c>
      <c r="J397" s="15" t="n">
        <v>2025</v>
      </c>
      <c r="K397" s="19" t="s">
        <v>27</v>
      </c>
      <c r="L397" s="15" t="s">
        <v>28</v>
      </c>
      <c r="M397" s="15" t="s">
        <v>33</v>
      </c>
      <c r="N397" s="17" t="s">
        <v>45</v>
      </c>
      <c r="O397" s="15"/>
      <c r="P397" s="15"/>
      <c r="Q397" s="21"/>
      <c r="R397" s="21"/>
      <c r="S397" s="21"/>
      <c r="T397" s="28"/>
      <c r="U397" s="24"/>
    </row>
    <row r="398" s="25" customFormat="true" ht="41.4" hidden="false" customHeight="false" outlineLevel="0" collapsed="false">
      <c r="A398" s="36" t="s">
        <v>1042</v>
      </c>
      <c r="B398" s="26" t="s">
        <v>1043</v>
      </c>
      <c r="C398" s="14" t="s">
        <v>475</v>
      </c>
      <c r="D398" s="15" t="n">
        <v>8</v>
      </c>
      <c r="E398" s="27" t="n">
        <f aca="false">F398/2</f>
        <v>27840</v>
      </c>
      <c r="F398" s="16" t="n">
        <f aca="false">23200*2*1.2</f>
        <v>55680</v>
      </c>
      <c r="G398" s="15" t="s">
        <v>36</v>
      </c>
      <c r="H398" s="17" t="s">
        <v>25</v>
      </c>
      <c r="I398" s="18" t="s">
        <v>26</v>
      </c>
      <c r="J398" s="15" t="n">
        <v>2019</v>
      </c>
      <c r="K398" s="19" t="s">
        <v>27</v>
      </c>
      <c r="L398" s="15" t="s">
        <v>28</v>
      </c>
      <c r="M398" s="15" t="s">
        <v>33</v>
      </c>
      <c r="N398" s="17" t="s">
        <v>45</v>
      </c>
      <c r="O398" s="15" t="s">
        <v>54</v>
      </c>
      <c r="P398" s="15"/>
      <c r="Q398" s="21"/>
      <c r="R398" s="21"/>
      <c r="S398" s="21"/>
      <c r="T398" s="31" t="n">
        <v>45846</v>
      </c>
      <c r="U398" s="24"/>
    </row>
    <row r="399" s="25" customFormat="true" ht="41.4" hidden="false" customHeight="false" outlineLevel="0" collapsed="false">
      <c r="A399" s="36" t="s">
        <v>1044</v>
      </c>
      <c r="B399" s="26" t="s">
        <v>1045</v>
      </c>
      <c r="C399" s="14" t="s">
        <v>475</v>
      </c>
      <c r="D399" s="15" t="n">
        <v>8</v>
      </c>
      <c r="E399" s="27" t="n">
        <f aca="false">F399/2</f>
        <v>27840</v>
      </c>
      <c r="F399" s="16" t="n">
        <f aca="false">23200*2*1.2</f>
        <v>55680</v>
      </c>
      <c r="G399" s="15" t="s">
        <v>36</v>
      </c>
      <c r="H399" s="17" t="s">
        <v>25</v>
      </c>
      <c r="I399" s="18" t="s">
        <v>26</v>
      </c>
      <c r="J399" s="15" t="n">
        <v>2019</v>
      </c>
      <c r="K399" s="19" t="s">
        <v>27</v>
      </c>
      <c r="L399" s="15" t="s">
        <v>28</v>
      </c>
      <c r="M399" s="15" t="s">
        <v>33</v>
      </c>
      <c r="N399" s="17" t="s">
        <v>45</v>
      </c>
      <c r="O399" s="15" t="s">
        <v>54</v>
      </c>
      <c r="P399" s="15"/>
      <c r="Q399" s="21" t="s">
        <v>476</v>
      </c>
      <c r="R399" s="21"/>
      <c r="S399" s="21"/>
      <c r="T399" s="31" t="n">
        <v>45846</v>
      </c>
      <c r="U399" s="24"/>
    </row>
    <row r="400" s="25" customFormat="true" ht="41.4" hidden="false" customHeight="false" outlineLevel="0" collapsed="false">
      <c r="A400" s="36" t="s">
        <v>1046</v>
      </c>
      <c r="B400" s="26" t="s">
        <v>1047</v>
      </c>
      <c r="C400" s="14" t="s">
        <v>1048</v>
      </c>
      <c r="D400" s="15" t="n">
        <v>12</v>
      </c>
      <c r="E400" s="27" t="n">
        <v>1677</v>
      </c>
      <c r="F400" s="16" t="n">
        <f aca="false">E400*2</f>
        <v>3354</v>
      </c>
      <c r="G400" s="15" t="s">
        <v>36</v>
      </c>
      <c r="H400" s="17" t="s">
        <v>25</v>
      </c>
      <c r="I400" s="18" t="s">
        <v>26</v>
      </c>
      <c r="J400" s="15" t="n">
        <v>2021</v>
      </c>
      <c r="K400" s="19" t="s">
        <v>27</v>
      </c>
      <c r="L400" s="15" t="s">
        <v>28</v>
      </c>
      <c r="M400" s="15" t="s">
        <v>33</v>
      </c>
      <c r="N400" s="20" t="s">
        <v>45</v>
      </c>
      <c r="O400" s="15"/>
      <c r="P400" s="15"/>
      <c r="Q400" s="21"/>
      <c r="R400" s="21"/>
      <c r="S400" s="21"/>
      <c r="T400" s="31" t="n">
        <v>45897</v>
      </c>
      <c r="U400" s="34"/>
    </row>
    <row r="401" s="25" customFormat="true" ht="79.8" hidden="false" customHeight="false" outlineLevel="0" collapsed="false">
      <c r="A401" s="36" t="s">
        <v>1049</v>
      </c>
      <c r="B401" s="26" t="s">
        <v>1050</v>
      </c>
      <c r="C401" s="14" t="s">
        <v>1051</v>
      </c>
      <c r="D401" s="15" t="n">
        <v>6</v>
      </c>
      <c r="E401" s="27" t="n">
        <f aca="false">F401/2</f>
        <v>4140</v>
      </c>
      <c r="F401" s="16" t="n">
        <f aca="false">6900*1.2</f>
        <v>8280</v>
      </c>
      <c r="G401" s="15" t="s">
        <v>24</v>
      </c>
      <c r="H401" s="17" t="s">
        <v>25</v>
      </c>
      <c r="I401" s="18" t="s">
        <v>26</v>
      </c>
      <c r="J401" s="15" t="n">
        <v>2012</v>
      </c>
      <c r="K401" s="19" t="s">
        <v>27</v>
      </c>
      <c r="L401" s="15" t="s">
        <v>28</v>
      </c>
      <c r="M401" s="15" t="s">
        <v>33</v>
      </c>
      <c r="N401" s="17" t="s">
        <v>45</v>
      </c>
      <c r="O401" s="15"/>
      <c r="P401" s="15"/>
      <c r="Q401" s="21" t="s">
        <v>862</v>
      </c>
      <c r="R401" s="21"/>
      <c r="S401" s="21"/>
      <c r="T401" s="31" t="n">
        <v>45856</v>
      </c>
      <c r="U401" s="24" t="s">
        <v>1052</v>
      </c>
    </row>
    <row r="402" s="25" customFormat="true" ht="41.4" hidden="false" customHeight="false" outlineLevel="0" collapsed="false">
      <c r="A402" s="36" t="s">
        <v>1053</v>
      </c>
      <c r="B402" s="26"/>
      <c r="C402" s="14" t="s">
        <v>148</v>
      </c>
      <c r="D402" s="15" t="n">
        <v>4</v>
      </c>
      <c r="E402" s="27" t="n">
        <f aca="false">F402/2</f>
        <v>1929.5</v>
      </c>
      <c r="F402" s="35" t="n">
        <f aca="false">FLOOR(3216*1.2,1)</f>
        <v>3859</v>
      </c>
      <c r="G402" s="15" t="s">
        <v>36</v>
      </c>
      <c r="H402" s="17" t="s">
        <v>25</v>
      </c>
      <c r="I402" s="18" t="s">
        <v>26</v>
      </c>
      <c r="J402" s="15" t="n">
        <v>2025</v>
      </c>
      <c r="K402" s="19" t="s">
        <v>27</v>
      </c>
      <c r="L402" s="15" t="s">
        <v>28</v>
      </c>
      <c r="M402" s="15" t="s">
        <v>33</v>
      </c>
      <c r="N402" s="17" t="s">
        <v>83</v>
      </c>
      <c r="O402" s="15"/>
      <c r="P402" s="15"/>
      <c r="Q402" s="21"/>
      <c r="R402" s="21"/>
      <c r="S402" s="21"/>
      <c r="T402" s="31" t="n">
        <v>45882</v>
      </c>
      <c r="U402" s="34"/>
    </row>
    <row r="403" s="25" customFormat="true" ht="45.6" hidden="false" customHeight="false" outlineLevel="0" collapsed="false">
      <c r="A403" s="36" t="s">
        <v>1054</v>
      </c>
      <c r="B403" s="26" t="s">
        <v>1055</v>
      </c>
      <c r="C403" s="14" t="s">
        <v>609</v>
      </c>
      <c r="D403" s="15" t="n">
        <v>6</v>
      </c>
      <c r="E403" s="27" t="n">
        <f aca="false">F403/2</f>
        <v>3276</v>
      </c>
      <c r="F403" s="16" t="n">
        <f aca="false">5460*1.2</f>
        <v>6552</v>
      </c>
      <c r="G403" s="15" t="s">
        <v>24</v>
      </c>
      <c r="H403" s="17" t="s">
        <v>25</v>
      </c>
      <c r="I403" s="18" t="s">
        <v>26</v>
      </c>
      <c r="J403" s="15" t="n">
        <v>2000</v>
      </c>
      <c r="K403" s="19" t="s">
        <v>27</v>
      </c>
      <c r="L403" s="15" t="s">
        <v>28</v>
      </c>
      <c r="M403" s="15" t="s">
        <v>33</v>
      </c>
      <c r="N403" s="17" t="s">
        <v>279</v>
      </c>
      <c r="O403" s="15"/>
      <c r="P403" s="15"/>
      <c r="Q403" s="21" t="s">
        <v>280</v>
      </c>
      <c r="R403" s="21"/>
      <c r="S403" s="21"/>
      <c r="T403" s="28"/>
      <c r="U403" s="24" t="s">
        <v>1056</v>
      </c>
    </row>
    <row r="404" s="25" customFormat="true" ht="41.4" hidden="false" customHeight="false" outlineLevel="0" collapsed="false">
      <c r="A404" s="36" t="s">
        <v>1057</v>
      </c>
      <c r="B404" s="26" t="s">
        <v>1058</v>
      </c>
      <c r="C404" s="14" t="s">
        <v>197</v>
      </c>
      <c r="D404" s="15" t="n">
        <v>4</v>
      </c>
      <c r="E404" s="27" t="n">
        <f aca="false">F404/2</f>
        <v>625</v>
      </c>
      <c r="F404" s="16" t="n">
        <v>1250</v>
      </c>
      <c r="G404" s="15" t="s">
        <v>36</v>
      </c>
      <c r="H404" s="17" t="s">
        <v>25</v>
      </c>
      <c r="I404" s="18" t="s">
        <v>26</v>
      </c>
      <c r="J404" s="15" t="n">
        <v>2020</v>
      </c>
      <c r="K404" s="19" t="s">
        <v>27</v>
      </c>
      <c r="L404" s="15" t="s">
        <v>28</v>
      </c>
      <c r="M404" s="15" t="s">
        <v>33</v>
      </c>
      <c r="N404" s="20"/>
      <c r="O404" s="15"/>
      <c r="P404" s="15"/>
      <c r="Q404" s="21"/>
      <c r="R404" s="21"/>
      <c r="S404" s="21"/>
      <c r="T404" s="28"/>
      <c r="U404" s="34"/>
    </row>
    <row r="405" s="25" customFormat="true" ht="57" hidden="false" customHeight="false" outlineLevel="0" collapsed="false">
      <c r="A405" s="36" t="s">
        <v>1059</v>
      </c>
      <c r="B405" s="26" t="s">
        <v>1060</v>
      </c>
      <c r="C405" s="14" t="s">
        <v>932</v>
      </c>
      <c r="D405" s="15" t="n">
        <v>12</v>
      </c>
      <c r="E405" s="27" t="n">
        <f aca="false">F405/2</f>
        <v>10080</v>
      </c>
      <c r="F405" s="16" t="n">
        <v>20160</v>
      </c>
      <c r="G405" s="15" t="s">
        <v>24</v>
      </c>
      <c r="H405" s="17" t="s">
        <v>25</v>
      </c>
      <c r="I405" s="18" t="s">
        <v>26</v>
      </c>
      <c r="J405" s="15" t="n">
        <v>2006</v>
      </c>
      <c r="K405" s="19" t="s">
        <v>27</v>
      </c>
      <c r="L405" s="15" t="s">
        <v>28</v>
      </c>
      <c r="M405" s="15" t="s">
        <v>33</v>
      </c>
      <c r="N405" s="17" t="s">
        <v>83</v>
      </c>
      <c r="O405" s="15"/>
      <c r="P405" s="15"/>
      <c r="Q405" s="21" t="s">
        <v>939</v>
      </c>
      <c r="R405" s="21"/>
      <c r="S405" s="21"/>
      <c r="T405" s="28"/>
      <c r="U405" s="24" t="s">
        <v>1061</v>
      </c>
    </row>
    <row r="406" s="25" customFormat="true" ht="41.4" hidden="false" customHeight="false" outlineLevel="0" collapsed="false">
      <c r="A406" s="42" t="s">
        <v>1062</v>
      </c>
      <c r="B406" s="26"/>
      <c r="C406" s="14" t="s">
        <v>264</v>
      </c>
      <c r="D406" s="30" t="n">
        <v>12</v>
      </c>
      <c r="E406" s="16" t="n">
        <f aca="false">F406/2</f>
        <v>47709</v>
      </c>
      <c r="F406" s="16" t="n">
        <f aca="false">102600*0.93</f>
        <v>95418</v>
      </c>
      <c r="G406" s="15" t="s">
        <v>36</v>
      </c>
      <c r="H406" s="17" t="s">
        <v>25</v>
      </c>
      <c r="I406" s="18" t="s">
        <v>26</v>
      </c>
      <c r="J406" s="15" t="n">
        <v>2024</v>
      </c>
      <c r="K406" s="19" t="s">
        <v>27</v>
      </c>
      <c r="L406" s="15" t="s">
        <v>28</v>
      </c>
      <c r="M406" s="15" t="s">
        <v>33</v>
      </c>
      <c r="N406" s="17" t="s">
        <v>83</v>
      </c>
      <c r="O406" s="60"/>
      <c r="P406" s="60"/>
      <c r="Q406" s="21"/>
      <c r="R406" s="21"/>
      <c r="S406" s="40"/>
      <c r="T406" s="31" t="n">
        <v>45880</v>
      </c>
      <c r="U406" s="41"/>
    </row>
    <row r="407" s="25" customFormat="true" ht="43.2" hidden="false" customHeight="false" outlineLevel="0" collapsed="false">
      <c r="A407" s="36" t="s">
        <v>1063</v>
      </c>
      <c r="B407" s="26" t="s">
        <v>1064</v>
      </c>
      <c r="C407" s="14" t="s">
        <v>1065</v>
      </c>
      <c r="D407" s="15" t="n">
        <v>12</v>
      </c>
      <c r="E407" s="27" t="n">
        <f aca="false">F407/2</f>
        <v>58590</v>
      </c>
      <c r="F407" s="16" t="n">
        <f aca="false">111600*1.05</f>
        <v>117180</v>
      </c>
      <c r="G407" s="15" t="s">
        <v>36</v>
      </c>
      <c r="H407" s="17" t="s">
        <v>25</v>
      </c>
      <c r="I407" s="18" t="s">
        <v>26</v>
      </c>
      <c r="J407" s="15" t="n">
        <v>2017</v>
      </c>
      <c r="K407" s="19" t="s">
        <v>27</v>
      </c>
      <c r="L407" s="15" t="s">
        <v>28</v>
      </c>
      <c r="M407" s="15" t="s">
        <v>33</v>
      </c>
      <c r="N407" s="17" t="s">
        <v>126</v>
      </c>
      <c r="O407" s="15"/>
      <c r="P407" s="15"/>
      <c r="Q407" s="21" t="s">
        <v>78</v>
      </c>
      <c r="R407" s="21"/>
      <c r="S407" s="21"/>
      <c r="T407" s="31" t="n">
        <v>45856</v>
      </c>
      <c r="U407" s="24"/>
    </row>
    <row r="408" s="25" customFormat="true" ht="41.4" hidden="false" customHeight="false" outlineLevel="0" collapsed="false">
      <c r="A408" s="36" t="s">
        <v>1066</v>
      </c>
      <c r="B408" s="26" t="s">
        <v>1067</v>
      </c>
      <c r="C408" s="14"/>
      <c r="D408" s="15" t="n">
        <v>6</v>
      </c>
      <c r="E408" s="27" t="n">
        <f aca="false">F408/2</f>
        <v>1404</v>
      </c>
      <c r="F408" s="16" t="n">
        <v>2808</v>
      </c>
      <c r="G408" s="15" t="s">
        <v>36</v>
      </c>
      <c r="H408" s="17" t="s">
        <v>25</v>
      </c>
      <c r="I408" s="18" t="s">
        <v>26</v>
      </c>
      <c r="J408" s="15" t="n">
        <v>2018</v>
      </c>
      <c r="K408" s="19" t="s">
        <v>27</v>
      </c>
      <c r="L408" s="15" t="s">
        <v>28</v>
      </c>
      <c r="M408" s="15" t="s">
        <v>33</v>
      </c>
      <c r="N408" s="17" t="s">
        <v>1068</v>
      </c>
      <c r="O408" s="15"/>
      <c r="P408" s="15"/>
      <c r="Q408" s="21" t="s">
        <v>78</v>
      </c>
      <c r="R408" s="21"/>
      <c r="S408" s="21"/>
      <c r="T408" s="31" t="n">
        <v>45883</v>
      </c>
      <c r="U408" s="24"/>
    </row>
    <row r="409" s="25" customFormat="true" ht="41.4" hidden="false" customHeight="false" outlineLevel="0" collapsed="false">
      <c r="A409" s="36" t="s">
        <v>1069</v>
      </c>
      <c r="B409" s="26"/>
      <c r="C409" s="14" t="s">
        <v>1070</v>
      </c>
      <c r="D409" s="15" t="n">
        <v>4</v>
      </c>
      <c r="E409" s="27" t="n">
        <f aca="false">F409/2</f>
        <v>2114</v>
      </c>
      <c r="F409" s="16" t="n">
        <v>4228</v>
      </c>
      <c r="G409" s="15" t="s">
        <v>36</v>
      </c>
      <c r="H409" s="17" t="s">
        <v>25</v>
      </c>
      <c r="I409" s="18" t="s">
        <v>26</v>
      </c>
      <c r="J409" s="15" t="n">
        <v>2025</v>
      </c>
      <c r="K409" s="19" t="s">
        <v>27</v>
      </c>
      <c r="L409" s="15" t="s">
        <v>28</v>
      </c>
      <c r="M409" s="15" t="s">
        <v>33</v>
      </c>
      <c r="N409" s="20" t="s">
        <v>175</v>
      </c>
      <c r="O409" s="61"/>
      <c r="P409" s="15"/>
      <c r="Q409" s="21"/>
      <c r="R409" s="21"/>
      <c r="S409" s="21"/>
      <c r="T409" s="31" t="n">
        <v>45909</v>
      </c>
      <c r="U409" s="34"/>
    </row>
    <row r="410" s="25" customFormat="true" ht="41.4" hidden="false" customHeight="false" outlineLevel="0" collapsed="false">
      <c r="A410" s="36" t="s">
        <v>1071</v>
      </c>
      <c r="B410" s="26" t="s">
        <v>1072</v>
      </c>
      <c r="C410" s="14" t="s">
        <v>246</v>
      </c>
      <c r="D410" s="15" t="n">
        <v>6</v>
      </c>
      <c r="E410" s="27" t="n">
        <f aca="false">F410/2</f>
        <v>11774</v>
      </c>
      <c r="F410" s="38" t="n">
        <v>23548</v>
      </c>
      <c r="G410" s="15" t="s">
        <v>36</v>
      </c>
      <c r="H410" s="17" t="s">
        <v>25</v>
      </c>
      <c r="I410" s="18" t="s">
        <v>26</v>
      </c>
      <c r="J410" s="15" t="n">
        <v>2017</v>
      </c>
      <c r="K410" s="19" t="s">
        <v>27</v>
      </c>
      <c r="L410" s="15" t="s">
        <v>28</v>
      </c>
      <c r="M410" s="15" t="s">
        <v>33</v>
      </c>
      <c r="N410" s="17" t="s">
        <v>543</v>
      </c>
      <c r="O410" s="15"/>
      <c r="P410" s="15"/>
      <c r="Q410" s="21" t="s">
        <v>247</v>
      </c>
      <c r="R410" s="21"/>
      <c r="S410" s="21"/>
      <c r="T410" s="31" t="n">
        <v>45882</v>
      </c>
      <c r="U410" s="24" t="s">
        <v>248</v>
      </c>
    </row>
    <row r="411" s="25" customFormat="true" ht="41.4" hidden="false" customHeight="false" outlineLevel="0" collapsed="false">
      <c r="A411" s="36" t="s">
        <v>1073</v>
      </c>
      <c r="B411" s="26" t="s">
        <v>1074</v>
      </c>
      <c r="C411" s="14" t="s">
        <v>246</v>
      </c>
      <c r="D411" s="15" t="n">
        <v>6</v>
      </c>
      <c r="E411" s="27" t="n">
        <f aca="false">F411/2</f>
        <v>6491.5</v>
      </c>
      <c r="F411" s="38" t="n">
        <v>12983</v>
      </c>
      <c r="G411" s="15" t="s">
        <v>36</v>
      </c>
      <c r="H411" s="17" t="s">
        <v>25</v>
      </c>
      <c r="I411" s="18" t="s">
        <v>26</v>
      </c>
      <c r="J411" s="15" t="n">
        <v>2017</v>
      </c>
      <c r="K411" s="19" t="s">
        <v>27</v>
      </c>
      <c r="L411" s="15" t="s">
        <v>28</v>
      </c>
      <c r="M411" s="15" t="s">
        <v>33</v>
      </c>
      <c r="N411" s="20" t="s">
        <v>87</v>
      </c>
      <c r="O411" s="15"/>
      <c r="P411" s="15"/>
      <c r="Q411" s="21" t="s">
        <v>247</v>
      </c>
      <c r="R411" s="21"/>
      <c r="S411" s="21"/>
      <c r="T411" s="31" t="n">
        <v>45882</v>
      </c>
      <c r="U411" s="24" t="s">
        <v>248</v>
      </c>
    </row>
    <row r="412" s="25" customFormat="true" ht="41.4" hidden="false" customHeight="false" outlineLevel="0" collapsed="false">
      <c r="A412" s="36" t="s">
        <v>1075</v>
      </c>
      <c r="B412" s="26" t="s">
        <v>1076</v>
      </c>
      <c r="C412" s="14" t="s">
        <v>246</v>
      </c>
      <c r="D412" s="15" t="n">
        <v>6</v>
      </c>
      <c r="E412" s="27" t="n">
        <f aca="false">F412/2</f>
        <v>7750</v>
      </c>
      <c r="F412" s="38" t="n">
        <v>15500</v>
      </c>
      <c r="G412" s="15" t="s">
        <v>36</v>
      </c>
      <c r="H412" s="17" t="s">
        <v>25</v>
      </c>
      <c r="I412" s="18" t="s">
        <v>26</v>
      </c>
      <c r="J412" s="15" t="n">
        <v>2017</v>
      </c>
      <c r="K412" s="19" t="s">
        <v>27</v>
      </c>
      <c r="L412" s="15" t="s">
        <v>28</v>
      </c>
      <c r="M412" s="15" t="s">
        <v>33</v>
      </c>
      <c r="N412" s="20" t="s">
        <v>87</v>
      </c>
      <c r="O412" s="15"/>
      <c r="P412" s="15"/>
      <c r="Q412" s="21" t="s">
        <v>247</v>
      </c>
      <c r="R412" s="21"/>
      <c r="S412" s="21"/>
      <c r="T412" s="31" t="n">
        <v>45882</v>
      </c>
      <c r="U412" s="24" t="s">
        <v>248</v>
      </c>
    </row>
    <row r="413" s="25" customFormat="true" ht="41.4" hidden="false" customHeight="false" outlineLevel="0" collapsed="false">
      <c r="A413" s="36" t="s">
        <v>1077</v>
      </c>
      <c r="B413" s="26" t="s">
        <v>1078</v>
      </c>
      <c r="C413" s="14" t="s">
        <v>246</v>
      </c>
      <c r="D413" s="15" t="n">
        <v>2</v>
      </c>
      <c r="E413" s="27" t="n">
        <f aca="false">F413/2</f>
        <v>5270</v>
      </c>
      <c r="F413" s="38" t="n">
        <v>10540</v>
      </c>
      <c r="G413" s="15" t="s">
        <v>36</v>
      </c>
      <c r="H413" s="17" t="s">
        <v>25</v>
      </c>
      <c r="I413" s="18" t="s">
        <v>26</v>
      </c>
      <c r="J413" s="15" t="n">
        <v>2017</v>
      </c>
      <c r="K413" s="19" t="s">
        <v>27</v>
      </c>
      <c r="L413" s="15" t="s">
        <v>28</v>
      </c>
      <c r="M413" s="15" t="s">
        <v>33</v>
      </c>
      <c r="N413" s="20" t="s">
        <v>87</v>
      </c>
      <c r="O413" s="15"/>
      <c r="P413" s="15"/>
      <c r="Q413" s="21" t="s">
        <v>247</v>
      </c>
      <c r="R413" s="21"/>
      <c r="S413" s="21"/>
      <c r="T413" s="31" t="n">
        <v>45882</v>
      </c>
      <c r="U413" s="24" t="s">
        <v>248</v>
      </c>
    </row>
    <row r="414" s="25" customFormat="true" ht="41.4" hidden="false" customHeight="false" outlineLevel="0" collapsed="false">
      <c r="A414" s="36" t="s">
        <v>1079</v>
      </c>
      <c r="B414" s="26" t="s">
        <v>1080</v>
      </c>
      <c r="C414" s="14" t="s">
        <v>1081</v>
      </c>
      <c r="D414" s="15" t="n">
        <v>11</v>
      </c>
      <c r="E414" s="27" t="n">
        <f aca="false">F414/2</f>
        <v>50</v>
      </c>
      <c r="F414" s="16" t="n">
        <v>100</v>
      </c>
      <c r="G414" s="15" t="s">
        <v>36</v>
      </c>
      <c r="H414" s="17" t="s">
        <v>25</v>
      </c>
      <c r="I414" s="18" t="s">
        <v>26</v>
      </c>
      <c r="J414" s="15" t="n">
        <v>2018</v>
      </c>
      <c r="K414" s="19" t="s">
        <v>27</v>
      </c>
      <c r="L414" s="15" t="s">
        <v>28</v>
      </c>
      <c r="M414" s="15" t="s">
        <v>33</v>
      </c>
      <c r="N414" s="17" t="s">
        <v>45</v>
      </c>
      <c r="O414" s="15"/>
      <c r="P414" s="15"/>
      <c r="Q414" s="21" t="s">
        <v>78</v>
      </c>
      <c r="R414" s="21"/>
      <c r="S414" s="21"/>
      <c r="T414" s="28"/>
      <c r="U414" s="24"/>
    </row>
    <row r="415" s="25" customFormat="true" ht="41.4" hidden="false" customHeight="false" outlineLevel="0" collapsed="false">
      <c r="A415" s="36" t="s">
        <v>1082</v>
      </c>
      <c r="B415" s="26" t="s">
        <v>1083</v>
      </c>
      <c r="C415" s="14"/>
      <c r="D415" s="15" t="n">
        <v>6</v>
      </c>
      <c r="E415" s="27" t="n">
        <f aca="false">F415/2</f>
        <v>2244</v>
      </c>
      <c r="F415" s="16" t="n">
        <v>4488</v>
      </c>
      <c r="G415" s="15" t="s">
        <v>36</v>
      </c>
      <c r="H415" s="17" t="s">
        <v>25</v>
      </c>
      <c r="I415" s="18" t="s">
        <v>26</v>
      </c>
      <c r="J415" s="15" t="n">
        <v>2018</v>
      </c>
      <c r="K415" s="19" t="s">
        <v>27</v>
      </c>
      <c r="L415" s="15" t="s">
        <v>28</v>
      </c>
      <c r="M415" s="15" t="s">
        <v>33</v>
      </c>
      <c r="N415" s="17" t="s">
        <v>45</v>
      </c>
      <c r="O415" s="15"/>
      <c r="P415" s="15"/>
      <c r="Q415" s="21" t="s">
        <v>78</v>
      </c>
      <c r="R415" s="21"/>
      <c r="S415" s="21"/>
      <c r="T415" s="28"/>
      <c r="U415" s="24"/>
    </row>
    <row r="416" s="25" customFormat="true" ht="41.4" hidden="false" customHeight="false" outlineLevel="0" collapsed="false">
      <c r="A416" s="36" t="s">
        <v>1084</v>
      </c>
      <c r="B416" s="26"/>
      <c r="C416" s="14" t="s">
        <v>1085</v>
      </c>
      <c r="D416" s="15" t="n">
        <v>6</v>
      </c>
      <c r="E416" s="27" t="n">
        <f aca="false">F416/2</f>
        <v>3490</v>
      </c>
      <c r="F416" s="16" t="n">
        <v>6980</v>
      </c>
      <c r="G416" s="15" t="s">
        <v>36</v>
      </c>
      <c r="H416" s="17" t="s">
        <v>25</v>
      </c>
      <c r="I416" s="18" t="s">
        <v>26</v>
      </c>
      <c r="J416" s="15" t="n">
        <v>2023</v>
      </c>
      <c r="K416" s="19" t="s">
        <v>27</v>
      </c>
      <c r="L416" s="15" t="s">
        <v>28</v>
      </c>
      <c r="M416" s="15" t="s">
        <v>33</v>
      </c>
      <c r="N416" s="20"/>
      <c r="O416" s="15"/>
      <c r="P416" s="15"/>
      <c r="Q416" s="21"/>
      <c r="R416" s="21"/>
      <c r="S416" s="21"/>
      <c r="T416" s="28"/>
      <c r="U416" s="34"/>
    </row>
    <row r="417" s="25" customFormat="true" ht="41.4" hidden="false" customHeight="false" outlineLevel="0" collapsed="false">
      <c r="A417" s="36" t="s">
        <v>1086</v>
      </c>
      <c r="B417" s="26" t="s">
        <v>1087</v>
      </c>
      <c r="C417" s="14" t="s">
        <v>1088</v>
      </c>
      <c r="D417" s="15" t="n">
        <v>16</v>
      </c>
      <c r="E417" s="27" t="n">
        <f aca="false">F417/2</f>
        <v>21840</v>
      </c>
      <c r="F417" s="16" t="n">
        <v>43680</v>
      </c>
      <c r="G417" s="15" t="s">
        <v>36</v>
      </c>
      <c r="H417" s="17" t="s">
        <v>25</v>
      </c>
      <c r="I417" s="18" t="s">
        <v>26</v>
      </c>
      <c r="J417" s="15"/>
      <c r="K417" s="19" t="s">
        <v>27</v>
      </c>
      <c r="L417" s="15" t="s">
        <v>28</v>
      </c>
      <c r="M417" s="15" t="s">
        <v>33</v>
      </c>
      <c r="N417" s="20" t="s">
        <v>1089</v>
      </c>
      <c r="O417" s="15"/>
      <c r="P417" s="15"/>
      <c r="Q417" s="21"/>
      <c r="R417" s="21"/>
      <c r="S417" s="21"/>
      <c r="T417" s="28"/>
      <c r="U417" s="34"/>
    </row>
    <row r="418" s="25" customFormat="true" ht="41.4" hidden="false" customHeight="false" outlineLevel="0" collapsed="false">
      <c r="A418" s="36" t="s">
        <v>1090</v>
      </c>
      <c r="B418" s="26" t="s">
        <v>1091</v>
      </c>
      <c r="C418" s="14" t="s">
        <v>1092</v>
      </c>
      <c r="D418" s="15" t="n">
        <v>6</v>
      </c>
      <c r="E418" s="27" t="n">
        <f aca="false">F418/2</f>
        <v>5214</v>
      </c>
      <c r="F418" s="16" t="n">
        <f aca="false">6*1738</f>
        <v>10428</v>
      </c>
      <c r="G418" s="15" t="s">
        <v>36</v>
      </c>
      <c r="H418" s="17" t="s">
        <v>25</v>
      </c>
      <c r="I418" s="18" t="s">
        <v>26</v>
      </c>
      <c r="J418" s="15" t="n">
        <v>2021</v>
      </c>
      <c r="K418" s="19" t="s">
        <v>1093</v>
      </c>
      <c r="L418" s="15" t="s">
        <v>28</v>
      </c>
      <c r="M418" s="15" t="s">
        <v>33</v>
      </c>
      <c r="N418" s="17" t="s">
        <v>637</v>
      </c>
      <c r="O418" s="15"/>
      <c r="P418" s="15"/>
      <c r="Q418" s="21" t="s">
        <v>78</v>
      </c>
      <c r="R418" s="21"/>
      <c r="S418" s="21"/>
      <c r="T418" s="31" t="n">
        <v>45893</v>
      </c>
      <c r="U418" s="24"/>
    </row>
    <row r="419" s="25" customFormat="true" ht="41.4" hidden="false" customHeight="false" outlineLevel="0" collapsed="false">
      <c r="A419" s="36" t="s">
        <v>1094</v>
      </c>
      <c r="B419" s="26" t="s">
        <v>1095</v>
      </c>
      <c r="C419" s="14" t="s">
        <v>1096</v>
      </c>
      <c r="D419" s="15" t="n">
        <v>4</v>
      </c>
      <c r="E419" s="27" t="n">
        <f aca="false">F419/2</f>
        <v>2000</v>
      </c>
      <c r="F419" s="16" t="n">
        <v>4000</v>
      </c>
      <c r="G419" s="15" t="s">
        <v>36</v>
      </c>
      <c r="H419" s="17" t="s">
        <v>25</v>
      </c>
      <c r="I419" s="18" t="s">
        <v>26</v>
      </c>
      <c r="J419" s="15" t="n">
        <v>2022</v>
      </c>
      <c r="K419" s="19" t="s">
        <v>27</v>
      </c>
      <c r="L419" s="15" t="s">
        <v>28</v>
      </c>
      <c r="M419" s="15" t="s">
        <v>33</v>
      </c>
      <c r="N419" s="17"/>
      <c r="O419" s="15"/>
      <c r="P419" s="15"/>
      <c r="Q419" s="21"/>
      <c r="R419" s="21"/>
      <c r="S419" s="21"/>
      <c r="T419" s="28"/>
      <c r="U419" s="24"/>
    </row>
    <row r="420" s="25" customFormat="true" ht="41.4" hidden="false" customHeight="false" outlineLevel="0" collapsed="false">
      <c r="A420" s="36" t="s">
        <v>1097</v>
      </c>
      <c r="B420" s="26"/>
      <c r="C420" s="14" t="s">
        <v>81</v>
      </c>
      <c r="D420" s="15" t="s">
        <v>1098</v>
      </c>
      <c r="E420" s="16" t="n">
        <f aca="false">F420/2</f>
        <v>50</v>
      </c>
      <c r="F420" s="16" t="n">
        <v>100</v>
      </c>
      <c r="G420" s="15" t="s">
        <v>36</v>
      </c>
      <c r="H420" s="17" t="s">
        <v>25</v>
      </c>
      <c r="I420" s="18" t="s">
        <v>26</v>
      </c>
      <c r="J420" s="15" t="n">
        <v>2024</v>
      </c>
      <c r="K420" s="19" t="s">
        <v>27</v>
      </c>
      <c r="L420" s="15" t="s">
        <v>304</v>
      </c>
      <c r="M420" s="15" t="s">
        <v>33</v>
      </c>
      <c r="N420" s="17" t="s">
        <v>83</v>
      </c>
      <c r="O420" s="15"/>
      <c r="P420" s="15"/>
      <c r="Q420" s="21"/>
      <c r="R420" s="21"/>
      <c r="S420" s="21"/>
      <c r="T420" s="28"/>
      <c r="U420" s="24"/>
    </row>
    <row r="421" s="25" customFormat="true" ht="55.2" hidden="false" customHeight="false" outlineLevel="0" collapsed="false">
      <c r="A421" s="36" t="s">
        <v>1099</v>
      </c>
      <c r="B421" s="26" t="s">
        <v>1100</v>
      </c>
      <c r="C421" s="14" t="s">
        <v>1101</v>
      </c>
      <c r="D421" s="15" t="n">
        <v>4</v>
      </c>
      <c r="E421" s="27" t="n">
        <f aca="false">F421/2</f>
        <v>50</v>
      </c>
      <c r="F421" s="16" t="n">
        <v>100</v>
      </c>
      <c r="G421" s="15" t="s">
        <v>36</v>
      </c>
      <c r="H421" s="17" t="s">
        <v>25</v>
      </c>
      <c r="I421" s="18" t="s">
        <v>26</v>
      </c>
      <c r="J421" s="15" t="n">
        <v>2012</v>
      </c>
      <c r="K421" s="19" t="s">
        <v>27</v>
      </c>
      <c r="L421" s="15" t="s">
        <v>28</v>
      </c>
      <c r="M421" s="15" t="s">
        <v>33</v>
      </c>
      <c r="N421" s="20" t="s">
        <v>83</v>
      </c>
      <c r="O421" s="15"/>
      <c r="P421" s="15"/>
      <c r="Q421" s="21"/>
      <c r="R421" s="21"/>
      <c r="S421" s="21"/>
      <c r="T421" s="28"/>
      <c r="U421" s="34"/>
    </row>
    <row r="422" s="25" customFormat="true" ht="41.4" hidden="false" customHeight="false" outlineLevel="0" collapsed="false">
      <c r="A422" s="39" t="s">
        <v>1102</v>
      </c>
      <c r="B422" s="26"/>
      <c r="C422" s="14" t="s">
        <v>264</v>
      </c>
      <c r="D422" s="15" t="n">
        <v>12</v>
      </c>
      <c r="E422" s="16" t="n">
        <f aca="false">F422/2</f>
        <v>75062.16</v>
      </c>
      <c r="F422" s="16" t="n">
        <f aca="false">161424*0.93</f>
        <v>150124.32</v>
      </c>
      <c r="G422" s="15" t="s">
        <v>36</v>
      </c>
      <c r="H422" s="17" t="s">
        <v>25</v>
      </c>
      <c r="I422" s="18" t="s">
        <v>26</v>
      </c>
      <c r="J422" s="15" t="n">
        <v>2024</v>
      </c>
      <c r="K422" s="19" t="s">
        <v>27</v>
      </c>
      <c r="L422" s="15" t="s">
        <v>28</v>
      </c>
      <c r="M422" s="15" t="s">
        <v>33</v>
      </c>
      <c r="N422" s="15" t="s">
        <v>1019</v>
      </c>
      <c r="O422" s="15"/>
      <c r="P422" s="15"/>
      <c r="Q422" s="21"/>
      <c r="R422" s="21"/>
      <c r="S422" s="40"/>
      <c r="T422" s="31" t="n">
        <v>45880</v>
      </c>
      <c r="U422" s="41"/>
    </row>
    <row r="423" s="25" customFormat="true" ht="41.4" hidden="false" customHeight="false" outlineLevel="0" collapsed="false">
      <c r="A423" s="36" t="s">
        <v>1103</v>
      </c>
      <c r="B423" s="26" t="s">
        <v>1104</v>
      </c>
      <c r="C423" s="14" t="s">
        <v>246</v>
      </c>
      <c r="D423" s="15" t="n">
        <v>12</v>
      </c>
      <c r="E423" s="27" t="n">
        <f aca="false">F423/2</f>
        <v>25640</v>
      </c>
      <c r="F423" s="38" t="n">
        <v>51280</v>
      </c>
      <c r="G423" s="15" t="s">
        <v>36</v>
      </c>
      <c r="H423" s="17" t="s">
        <v>25</v>
      </c>
      <c r="I423" s="18" t="s">
        <v>26</v>
      </c>
      <c r="J423" s="15" t="n">
        <v>2017</v>
      </c>
      <c r="K423" s="19" t="s">
        <v>27</v>
      </c>
      <c r="L423" s="15" t="s">
        <v>28</v>
      </c>
      <c r="M423" s="15" t="s">
        <v>33</v>
      </c>
      <c r="N423" s="20" t="s">
        <v>83</v>
      </c>
      <c r="O423" s="15"/>
      <c r="P423" s="15"/>
      <c r="Q423" s="21" t="s">
        <v>247</v>
      </c>
      <c r="R423" s="21"/>
      <c r="S423" s="21"/>
      <c r="T423" s="31" t="n">
        <v>45882</v>
      </c>
      <c r="U423" s="24" t="s">
        <v>248</v>
      </c>
    </row>
    <row r="424" s="25" customFormat="true" ht="41.4" hidden="false" customHeight="false" outlineLevel="0" collapsed="false">
      <c r="A424" s="36" t="s">
        <v>1105</v>
      </c>
      <c r="B424" s="26" t="s">
        <v>1106</v>
      </c>
      <c r="C424" s="14" t="s">
        <v>475</v>
      </c>
      <c r="D424" s="15" t="n">
        <v>6</v>
      </c>
      <c r="E424" s="27" t="n">
        <f aca="false">F424/2</f>
        <v>26280</v>
      </c>
      <c r="F424" s="16" t="n">
        <f aca="false">21900*2*1.2</f>
        <v>52560</v>
      </c>
      <c r="G424" s="15" t="s">
        <v>36</v>
      </c>
      <c r="H424" s="17" t="s">
        <v>25</v>
      </c>
      <c r="I424" s="18" t="s">
        <v>26</v>
      </c>
      <c r="J424" s="15" t="n">
        <v>2019</v>
      </c>
      <c r="K424" s="19" t="s">
        <v>27</v>
      </c>
      <c r="L424" s="15" t="s">
        <v>28</v>
      </c>
      <c r="M424" s="15" t="s">
        <v>33</v>
      </c>
      <c r="N424" s="17" t="s">
        <v>45</v>
      </c>
      <c r="O424" s="15" t="s">
        <v>54</v>
      </c>
      <c r="P424" s="15"/>
      <c r="Q424" s="21" t="s">
        <v>476</v>
      </c>
      <c r="R424" s="21"/>
      <c r="S424" s="21"/>
      <c r="T424" s="31" t="n">
        <v>45846</v>
      </c>
      <c r="U424" s="24"/>
    </row>
    <row r="425" s="25" customFormat="true" ht="41.4" hidden="false" customHeight="false" outlineLevel="0" collapsed="false">
      <c r="A425" s="36" t="s">
        <v>1107</v>
      </c>
      <c r="B425" s="26" t="s">
        <v>1108</v>
      </c>
      <c r="C425" s="14" t="s">
        <v>86</v>
      </c>
      <c r="D425" s="15" t="n">
        <v>4</v>
      </c>
      <c r="E425" s="27" t="n">
        <f aca="false">F425/2</f>
        <v>6178</v>
      </c>
      <c r="F425" s="62" t="n">
        <v>12356</v>
      </c>
      <c r="G425" s="15" t="s">
        <v>36</v>
      </c>
      <c r="H425" s="17" t="s">
        <v>25</v>
      </c>
      <c r="I425" s="18" t="s">
        <v>26</v>
      </c>
      <c r="J425" s="15" t="n">
        <v>2017</v>
      </c>
      <c r="K425" s="19" t="s">
        <v>27</v>
      </c>
      <c r="L425" s="15" t="s">
        <v>28</v>
      </c>
      <c r="M425" s="15" t="s">
        <v>33</v>
      </c>
      <c r="N425" s="17" t="s">
        <v>712</v>
      </c>
      <c r="O425" s="15"/>
      <c r="P425" s="15"/>
      <c r="Q425" s="21" t="s">
        <v>78</v>
      </c>
      <c r="R425" s="21"/>
      <c r="S425" s="21"/>
      <c r="T425" s="31" t="n">
        <v>45882</v>
      </c>
      <c r="U425" s="24"/>
    </row>
    <row r="426" s="25" customFormat="true" ht="41.4" hidden="false" customHeight="false" outlineLevel="0" collapsed="false">
      <c r="A426" s="36" t="s">
        <v>1109</v>
      </c>
      <c r="B426" s="26" t="s">
        <v>1110</v>
      </c>
      <c r="C426" s="14" t="s">
        <v>1111</v>
      </c>
      <c r="D426" s="15" t="n">
        <v>10</v>
      </c>
      <c r="E426" s="27" t="n">
        <f aca="false">F426/2</f>
        <v>15600</v>
      </c>
      <c r="F426" s="16" t="n">
        <f aca="false">26000*1.2</f>
        <v>31200</v>
      </c>
      <c r="G426" s="15" t="s">
        <v>36</v>
      </c>
      <c r="H426" s="17" t="s">
        <v>25</v>
      </c>
      <c r="I426" s="18" t="s">
        <v>26</v>
      </c>
      <c r="J426" s="15" t="n">
        <v>2019</v>
      </c>
      <c r="K426" s="19" t="s">
        <v>27</v>
      </c>
      <c r="L426" s="15" t="s">
        <v>28</v>
      </c>
      <c r="M426" s="15" t="s">
        <v>33</v>
      </c>
      <c r="N426" s="20" t="s">
        <v>45</v>
      </c>
      <c r="O426" s="15"/>
      <c r="P426" s="15"/>
      <c r="Q426" s="21"/>
      <c r="R426" s="21"/>
      <c r="S426" s="21"/>
      <c r="T426" s="28"/>
      <c r="U426" s="34"/>
    </row>
    <row r="427" s="25" customFormat="true" ht="41.4" hidden="false" customHeight="false" outlineLevel="0" collapsed="false">
      <c r="A427" s="36" t="s">
        <v>1112</v>
      </c>
      <c r="B427" s="26"/>
      <c r="C427" s="14" t="s">
        <v>1113</v>
      </c>
      <c r="D427" s="15" t="n">
        <v>6</v>
      </c>
      <c r="E427" s="27" t="n">
        <f aca="false">F427/2</f>
        <v>50</v>
      </c>
      <c r="F427" s="16" t="n">
        <v>100</v>
      </c>
      <c r="G427" s="15" t="s">
        <v>36</v>
      </c>
      <c r="H427" s="17" t="s">
        <v>25</v>
      </c>
      <c r="I427" s="18" t="s">
        <v>26</v>
      </c>
      <c r="J427" s="15" t="n">
        <v>2023</v>
      </c>
      <c r="K427" s="19" t="s">
        <v>1114</v>
      </c>
      <c r="L427" s="15" t="s">
        <v>28</v>
      </c>
      <c r="M427" s="15" t="s">
        <v>33</v>
      </c>
      <c r="N427" s="17" t="s">
        <v>543</v>
      </c>
      <c r="O427" s="15"/>
      <c r="P427" s="15"/>
      <c r="Q427" s="21"/>
      <c r="R427" s="21"/>
      <c r="S427" s="21"/>
      <c r="T427" s="28"/>
      <c r="U427" s="24"/>
    </row>
    <row r="428" s="25" customFormat="true" ht="41.4" hidden="false" customHeight="false" outlineLevel="0" collapsed="false">
      <c r="A428" s="36" t="s">
        <v>1115</v>
      </c>
      <c r="B428" s="26" t="s">
        <v>1116</v>
      </c>
      <c r="C428" s="14" t="s">
        <v>1117</v>
      </c>
      <c r="D428" s="15" t="n">
        <v>4</v>
      </c>
      <c r="E428" s="27" t="n">
        <f aca="false">F428/2</f>
        <v>1140</v>
      </c>
      <c r="F428" s="16" t="n">
        <v>2280</v>
      </c>
      <c r="G428" s="15" t="s">
        <v>36</v>
      </c>
      <c r="H428" s="17" t="s">
        <v>25</v>
      </c>
      <c r="I428" s="18" t="s">
        <v>26</v>
      </c>
      <c r="J428" s="15" t="n">
        <v>2019</v>
      </c>
      <c r="K428" s="19" t="s">
        <v>27</v>
      </c>
      <c r="L428" s="15" t="s">
        <v>28</v>
      </c>
      <c r="M428" s="15" t="s">
        <v>33</v>
      </c>
      <c r="N428" s="20"/>
      <c r="O428" s="15"/>
      <c r="P428" s="15"/>
      <c r="Q428" s="21"/>
      <c r="R428" s="21"/>
      <c r="S428" s="21"/>
      <c r="T428" s="28"/>
      <c r="U428" s="34"/>
    </row>
    <row r="429" s="25" customFormat="true" ht="79.8" hidden="false" customHeight="false" outlineLevel="0" collapsed="false">
      <c r="A429" s="36" t="s">
        <v>1118</v>
      </c>
      <c r="B429" s="26" t="s">
        <v>1119</v>
      </c>
      <c r="C429" s="14" t="s">
        <v>86</v>
      </c>
      <c r="D429" s="15" t="n">
        <v>12</v>
      </c>
      <c r="E429" s="27" t="n">
        <f aca="false">F429/2</f>
        <v>19562</v>
      </c>
      <c r="F429" s="32" t="n">
        <v>39124</v>
      </c>
      <c r="G429" s="15" t="s">
        <v>24</v>
      </c>
      <c r="H429" s="17" t="s">
        <v>25</v>
      </c>
      <c r="I429" s="18" t="s">
        <v>26</v>
      </c>
      <c r="J429" s="15" t="n">
        <v>2014</v>
      </c>
      <c r="K429" s="19" t="s">
        <v>59</v>
      </c>
      <c r="L429" s="15" t="s">
        <v>28</v>
      </c>
      <c r="M429" s="15" t="s">
        <v>33</v>
      </c>
      <c r="N429" s="17" t="s">
        <v>543</v>
      </c>
      <c r="O429" s="15"/>
      <c r="P429" s="15"/>
      <c r="Q429" s="21" t="s">
        <v>577</v>
      </c>
      <c r="R429" s="21"/>
      <c r="S429" s="21"/>
      <c r="T429" s="31" t="n">
        <v>45882</v>
      </c>
      <c r="U429" s="24" t="s">
        <v>1120</v>
      </c>
    </row>
    <row r="430" s="25" customFormat="true" ht="41.4" hidden="false" customHeight="false" outlineLevel="0" collapsed="false">
      <c r="A430" s="36" t="s">
        <v>1121</v>
      </c>
      <c r="B430" s="26" t="s">
        <v>1122</v>
      </c>
      <c r="C430" s="14" t="s">
        <v>1117</v>
      </c>
      <c r="D430" s="15" t="n">
        <v>6</v>
      </c>
      <c r="E430" s="27" t="n">
        <f aca="false">F430/2</f>
        <v>6840</v>
      </c>
      <c r="F430" s="16" t="n">
        <f aca="false">11400*1.2</f>
        <v>13680</v>
      </c>
      <c r="G430" s="15" t="s">
        <v>36</v>
      </c>
      <c r="H430" s="17" t="s">
        <v>25</v>
      </c>
      <c r="I430" s="18" t="s">
        <v>26</v>
      </c>
      <c r="J430" s="15" t="n">
        <v>2019</v>
      </c>
      <c r="K430" s="19" t="s">
        <v>27</v>
      </c>
      <c r="L430" s="15" t="s">
        <v>28</v>
      </c>
      <c r="M430" s="15" t="s">
        <v>33</v>
      </c>
      <c r="N430" s="20" t="s">
        <v>543</v>
      </c>
      <c r="O430" s="15" t="s">
        <v>46</v>
      </c>
      <c r="P430" s="15"/>
      <c r="Q430" s="21"/>
      <c r="R430" s="21"/>
      <c r="S430" s="21"/>
      <c r="T430" s="28"/>
      <c r="U430" s="34"/>
    </row>
    <row r="431" s="25" customFormat="true" ht="41.4" hidden="false" customHeight="false" outlineLevel="0" collapsed="false">
      <c r="A431" s="36" t="s">
        <v>1123</v>
      </c>
      <c r="B431" s="26" t="s">
        <v>1124</v>
      </c>
      <c r="C431" s="14" t="s">
        <v>246</v>
      </c>
      <c r="D431" s="15" t="n">
        <v>6</v>
      </c>
      <c r="E431" s="27" t="n">
        <f aca="false">F431/2</f>
        <v>11774</v>
      </c>
      <c r="F431" s="38" t="n">
        <v>23548</v>
      </c>
      <c r="G431" s="15" t="s">
        <v>36</v>
      </c>
      <c r="H431" s="17" t="s">
        <v>25</v>
      </c>
      <c r="I431" s="18" t="s">
        <v>26</v>
      </c>
      <c r="J431" s="15" t="n">
        <v>2017</v>
      </c>
      <c r="K431" s="19" t="s">
        <v>27</v>
      </c>
      <c r="L431" s="15" t="s">
        <v>28</v>
      </c>
      <c r="M431" s="15" t="s">
        <v>33</v>
      </c>
      <c r="N431" s="17" t="s">
        <v>543</v>
      </c>
      <c r="O431" s="15"/>
      <c r="P431" s="15"/>
      <c r="Q431" s="21" t="s">
        <v>247</v>
      </c>
      <c r="R431" s="21"/>
      <c r="S431" s="21"/>
      <c r="T431" s="31" t="n">
        <v>45882</v>
      </c>
      <c r="U431" s="24" t="s">
        <v>248</v>
      </c>
    </row>
    <row r="432" s="25" customFormat="true" ht="41.4" hidden="false" customHeight="false" outlineLevel="0" collapsed="false">
      <c r="A432" s="36" t="s">
        <v>1125</v>
      </c>
      <c r="B432" s="26" t="s">
        <v>1126</v>
      </c>
      <c r="C432" s="14" t="s">
        <v>239</v>
      </c>
      <c r="D432" s="15" t="n">
        <v>12</v>
      </c>
      <c r="E432" s="27" t="n">
        <v>18900</v>
      </c>
      <c r="F432" s="16" t="n">
        <f aca="false">12*3980</f>
        <v>47760</v>
      </c>
      <c r="G432" s="15" t="s">
        <v>36</v>
      </c>
      <c r="H432" s="17" t="s">
        <v>25</v>
      </c>
      <c r="I432" s="18" t="s">
        <v>26</v>
      </c>
      <c r="J432" s="15" t="n">
        <v>2018</v>
      </c>
      <c r="K432" s="19" t="s">
        <v>27</v>
      </c>
      <c r="L432" s="15" t="s">
        <v>28</v>
      </c>
      <c r="M432" s="15" t="s">
        <v>33</v>
      </c>
      <c r="N432" s="17" t="s">
        <v>543</v>
      </c>
      <c r="O432" s="15"/>
      <c r="P432" s="15"/>
      <c r="Q432" s="21" t="s">
        <v>78</v>
      </c>
      <c r="R432" s="21"/>
      <c r="S432" s="21"/>
      <c r="T432" s="31" t="n">
        <v>45880</v>
      </c>
      <c r="U432" s="24"/>
    </row>
    <row r="433" s="25" customFormat="true" ht="41.4" hidden="false" customHeight="false" outlineLevel="0" collapsed="false">
      <c r="A433" s="36" t="s">
        <v>1127</v>
      </c>
      <c r="B433" s="26" t="s">
        <v>1128</v>
      </c>
      <c r="C433" s="14" t="s">
        <v>246</v>
      </c>
      <c r="D433" s="15" t="n">
        <v>6</v>
      </c>
      <c r="E433" s="27" t="n">
        <f aca="false">F433/2</f>
        <v>12820</v>
      </c>
      <c r="F433" s="38" t="n">
        <v>25640</v>
      </c>
      <c r="G433" s="15" t="s">
        <v>36</v>
      </c>
      <c r="H433" s="17" t="s">
        <v>25</v>
      </c>
      <c r="I433" s="18" t="s">
        <v>26</v>
      </c>
      <c r="J433" s="15" t="n">
        <v>2017</v>
      </c>
      <c r="K433" s="19" t="s">
        <v>27</v>
      </c>
      <c r="L433" s="15" t="s">
        <v>28</v>
      </c>
      <c r="M433" s="15" t="s">
        <v>33</v>
      </c>
      <c r="N433" s="20"/>
      <c r="O433" s="15"/>
      <c r="P433" s="15"/>
      <c r="Q433" s="21" t="s">
        <v>247</v>
      </c>
      <c r="R433" s="21"/>
      <c r="S433" s="21"/>
      <c r="T433" s="31" t="n">
        <v>45882</v>
      </c>
      <c r="U433" s="24" t="s">
        <v>248</v>
      </c>
    </row>
    <row r="434" s="25" customFormat="true" ht="41.4" hidden="false" customHeight="false" outlineLevel="0" collapsed="false">
      <c r="A434" s="36" t="s">
        <v>1129</v>
      </c>
      <c r="B434" s="26" t="s">
        <v>1130</v>
      </c>
      <c r="C434" s="14" t="s">
        <v>401</v>
      </c>
      <c r="D434" s="15" t="n">
        <v>4</v>
      </c>
      <c r="E434" s="27" t="n">
        <f aca="false">F434/2</f>
        <v>3300</v>
      </c>
      <c r="F434" s="16" t="n">
        <v>6600</v>
      </c>
      <c r="G434" s="15" t="s">
        <v>36</v>
      </c>
      <c r="H434" s="17" t="s">
        <v>25</v>
      </c>
      <c r="I434" s="18" t="s">
        <v>26</v>
      </c>
      <c r="J434" s="15" t="n">
        <v>2018</v>
      </c>
      <c r="K434" s="19" t="s">
        <v>27</v>
      </c>
      <c r="L434" s="15" t="s">
        <v>28</v>
      </c>
      <c r="M434" s="15" t="s">
        <v>33</v>
      </c>
      <c r="N434" s="17" t="s">
        <v>671</v>
      </c>
      <c r="O434" s="15"/>
      <c r="P434" s="15"/>
      <c r="Q434" s="21" t="s">
        <v>78</v>
      </c>
      <c r="R434" s="21"/>
      <c r="S434" s="21"/>
      <c r="T434" s="28"/>
      <c r="U434" s="24"/>
    </row>
    <row r="435" s="25" customFormat="true" ht="41.4" hidden="false" customHeight="false" outlineLevel="0" collapsed="false">
      <c r="A435" s="36" t="s">
        <v>1131</v>
      </c>
      <c r="B435" s="26" t="s">
        <v>1132</v>
      </c>
      <c r="C435" s="14" t="s">
        <v>246</v>
      </c>
      <c r="D435" s="15" t="n">
        <v>4</v>
      </c>
      <c r="E435" s="27" t="n">
        <f aca="false">F435/2</f>
        <v>8337</v>
      </c>
      <c r="F435" s="38" t="n">
        <v>16674</v>
      </c>
      <c r="G435" s="15" t="s">
        <v>36</v>
      </c>
      <c r="H435" s="17" t="s">
        <v>25</v>
      </c>
      <c r="I435" s="18" t="s">
        <v>26</v>
      </c>
      <c r="J435" s="15" t="n">
        <v>2017</v>
      </c>
      <c r="K435" s="19" t="s">
        <v>27</v>
      </c>
      <c r="L435" s="15" t="s">
        <v>28</v>
      </c>
      <c r="M435" s="15" t="s">
        <v>33</v>
      </c>
      <c r="N435" s="17"/>
      <c r="O435" s="15"/>
      <c r="P435" s="15"/>
      <c r="Q435" s="21" t="s">
        <v>247</v>
      </c>
      <c r="R435" s="21"/>
      <c r="S435" s="21"/>
      <c r="T435" s="31" t="n">
        <v>45882</v>
      </c>
      <c r="U435" s="24" t="s">
        <v>248</v>
      </c>
    </row>
    <row r="436" s="25" customFormat="true" ht="41.4" hidden="false" customHeight="false" outlineLevel="0" collapsed="false">
      <c r="A436" s="36" t="s">
        <v>1133</v>
      </c>
      <c r="B436" s="26"/>
      <c r="C436" s="14" t="s">
        <v>864</v>
      </c>
      <c r="D436" s="15" t="n">
        <v>4</v>
      </c>
      <c r="E436" s="16" t="n">
        <f aca="false">F436/2</f>
        <v>50</v>
      </c>
      <c r="F436" s="16" t="n">
        <v>100</v>
      </c>
      <c r="G436" s="15" t="s">
        <v>36</v>
      </c>
      <c r="H436" s="17" t="s">
        <v>25</v>
      </c>
      <c r="I436" s="18" t="s">
        <v>26</v>
      </c>
      <c r="J436" s="15" t="n">
        <v>2025</v>
      </c>
      <c r="K436" s="19" t="s">
        <v>553</v>
      </c>
      <c r="L436" s="15" t="s">
        <v>28</v>
      </c>
      <c r="M436" s="15" t="s">
        <v>33</v>
      </c>
      <c r="N436" s="17"/>
      <c r="O436" s="15"/>
      <c r="P436" s="15"/>
      <c r="Q436" s="21"/>
      <c r="R436" s="21"/>
      <c r="S436" s="21"/>
      <c r="T436" s="28"/>
      <c r="U436" s="24"/>
    </row>
    <row r="437" s="25" customFormat="true" ht="41.4" hidden="false" customHeight="false" outlineLevel="0" collapsed="false">
      <c r="A437" s="36" t="s">
        <v>1134</v>
      </c>
      <c r="B437" s="26" t="s">
        <v>1135</v>
      </c>
      <c r="C437" s="14" t="s">
        <v>246</v>
      </c>
      <c r="D437" s="15" t="n">
        <v>6</v>
      </c>
      <c r="E437" s="27" t="n">
        <f aca="false">F437/2</f>
        <v>11774</v>
      </c>
      <c r="F437" s="38" t="n">
        <v>23548</v>
      </c>
      <c r="G437" s="15" t="s">
        <v>36</v>
      </c>
      <c r="H437" s="17" t="s">
        <v>25</v>
      </c>
      <c r="I437" s="18" t="s">
        <v>26</v>
      </c>
      <c r="J437" s="15" t="n">
        <v>2017</v>
      </c>
      <c r="K437" s="19" t="s">
        <v>27</v>
      </c>
      <c r="L437" s="15" t="s">
        <v>28</v>
      </c>
      <c r="M437" s="15" t="s">
        <v>33</v>
      </c>
      <c r="N437" s="17"/>
      <c r="O437" s="15"/>
      <c r="P437" s="15"/>
      <c r="Q437" s="21" t="s">
        <v>247</v>
      </c>
      <c r="R437" s="21"/>
      <c r="S437" s="21"/>
      <c r="T437" s="31" t="n">
        <v>45882</v>
      </c>
      <c r="U437" s="24" t="s">
        <v>248</v>
      </c>
    </row>
    <row r="438" s="25" customFormat="true" ht="41.4" hidden="false" customHeight="false" outlineLevel="0" collapsed="false">
      <c r="A438" s="36" t="s">
        <v>1136</v>
      </c>
      <c r="B438" s="26" t="s">
        <v>1137</v>
      </c>
      <c r="C438" s="14" t="s">
        <v>246</v>
      </c>
      <c r="D438" s="15" t="n">
        <v>12</v>
      </c>
      <c r="E438" s="27" t="n">
        <f aca="false">F438/2</f>
        <v>24208.5</v>
      </c>
      <c r="F438" s="38" t="n">
        <v>48417</v>
      </c>
      <c r="G438" s="15" t="s">
        <v>36</v>
      </c>
      <c r="H438" s="17" t="s">
        <v>25</v>
      </c>
      <c r="I438" s="18" t="s">
        <v>26</v>
      </c>
      <c r="J438" s="15" t="n">
        <v>2017</v>
      </c>
      <c r="K438" s="19" t="s">
        <v>27</v>
      </c>
      <c r="L438" s="15" t="s">
        <v>28</v>
      </c>
      <c r="M438" s="15" t="s">
        <v>33</v>
      </c>
      <c r="N438" s="17"/>
      <c r="O438" s="15"/>
      <c r="P438" s="15"/>
      <c r="Q438" s="21" t="s">
        <v>247</v>
      </c>
      <c r="R438" s="21"/>
      <c r="S438" s="21"/>
      <c r="T438" s="31" t="n">
        <v>45882</v>
      </c>
      <c r="U438" s="24" t="s">
        <v>248</v>
      </c>
    </row>
    <row r="439" s="25" customFormat="true" ht="41.4" hidden="false" customHeight="false" outlineLevel="0" collapsed="false">
      <c r="A439" s="36" t="s">
        <v>1138</v>
      </c>
      <c r="B439" s="26" t="s">
        <v>1139</v>
      </c>
      <c r="C439" s="14" t="s">
        <v>246</v>
      </c>
      <c r="D439" s="15" t="n">
        <v>6</v>
      </c>
      <c r="E439" s="27" t="n">
        <f aca="false">F439/2</f>
        <v>11774</v>
      </c>
      <c r="F439" s="38" t="n">
        <v>23548</v>
      </c>
      <c r="G439" s="15" t="s">
        <v>36</v>
      </c>
      <c r="H439" s="17" t="s">
        <v>25</v>
      </c>
      <c r="I439" s="18" t="s">
        <v>26</v>
      </c>
      <c r="J439" s="15" t="n">
        <v>2017</v>
      </c>
      <c r="K439" s="19" t="s">
        <v>27</v>
      </c>
      <c r="L439" s="15" t="s">
        <v>28</v>
      </c>
      <c r="M439" s="15" t="s">
        <v>33</v>
      </c>
      <c r="N439" s="17"/>
      <c r="O439" s="15"/>
      <c r="P439" s="15"/>
      <c r="Q439" s="21" t="s">
        <v>247</v>
      </c>
      <c r="R439" s="21"/>
      <c r="S439" s="21"/>
      <c r="T439" s="31" t="n">
        <v>45882</v>
      </c>
      <c r="U439" s="24" t="s">
        <v>248</v>
      </c>
    </row>
    <row r="440" s="25" customFormat="true" ht="41.4" hidden="false" customHeight="false" outlineLevel="0" collapsed="false">
      <c r="A440" s="36" t="s">
        <v>1140</v>
      </c>
      <c r="B440" s="26"/>
      <c r="C440" s="14" t="s">
        <v>1141</v>
      </c>
      <c r="D440" s="15" t="n">
        <v>2</v>
      </c>
      <c r="E440" s="27" t="n">
        <f aca="false">F440/2</f>
        <v>50</v>
      </c>
      <c r="F440" s="16" t="n">
        <v>100</v>
      </c>
      <c r="G440" s="15" t="s">
        <v>36</v>
      </c>
      <c r="H440" s="17" t="s">
        <v>25</v>
      </c>
      <c r="I440" s="18" t="s">
        <v>26</v>
      </c>
      <c r="J440" s="15" t="n">
        <v>2023</v>
      </c>
      <c r="K440" s="19" t="s">
        <v>1142</v>
      </c>
      <c r="L440" s="15" t="s">
        <v>28</v>
      </c>
      <c r="M440" s="15" t="s">
        <v>33</v>
      </c>
      <c r="N440" s="17" t="s">
        <v>83</v>
      </c>
      <c r="O440" s="15"/>
      <c r="P440" s="15"/>
      <c r="Q440" s="21"/>
      <c r="R440" s="21"/>
      <c r="S440" s="21"/>
      <c r="T440" s="28"/>
      <c r="U440" s="24"/>
    </row>
    <row r="441" s="25" customFormat="true" ht="41.4" hidden="false" customHeight="false" outlineLevel="0" collapsed="false">
      <c r="A441" s="36" t="s">
        <v>1143</v>
      </c>
      <c r="B441" s="26"/>
      <c r="C441" s="14" t="s">
        <v>202</v>
      </c>
      <c r="D441" s="15" t="n">
        <v>1</v>
      </c>
      <c r="E441" s="27" t="n">
        <f aca="false">F441/2</f>
        <v>50</v>
      </c>
      <c r="F441" s="16" t="n">
        <v>100</v>
      </c>
      <c r="G441" s="15" t="s">
        <v>36</v>
      </c>
      <c r="H441" s="17" t="s">
        <v>25</v>
      </c>
      <c r="I441" s="18" t="s">
        <v>26</v>
      </c>
      <c r="J441" s="17" t="n">
        <v>2021</v>
      </c>
      <c r="K441" s="19" t="s">
        <v>27</v>
      </c>
      <c r="L441" s="15" t="s">
        <v>28</v>
      </c>
      <c r="M441" s="15" t="s">
        <v>33</v>
      </c>
      <c r="N441" s="20"/>
      <c r="O441" s="15"/>
      <c r="P441" s="15"/>
      <c r="Q441" s="21"/>
      <c r="R441" s="21"/>
      <c r="S441" s="21"/>
      <c r="T441" s="28"/>
      <c r="U441" s="34"/>
    </row>
    <row r="442" s="25" customFormat="true" ht="41.4" hidden="false" customHeight="false" outlineLevel="0" collapsed="false">
      <c r="A442" s="36" t="s">
        <v>1144</v>
      </c>
      <c r="B442" s="26" t="s">
        <v>1145</v>
      </c>
      <c r="C442" s="14" t="s">
        <v>1146</v>
      </c>
      <c r="D442" s="15" t="n">
        <v>12</v>
      </c>
      <c r="E442" s="27" t="n">
        <f aca="false">F442/2</f>
        <v>8100</v>
      </c>
      <c r="F442" s="16" t="n">
        <v>16200</v>
      </c>
      <c r="G442" s="15" t="s">
        <v>24</v>
      </c>
      <c r="H442" s="17" t="s">
        <v>25</v>
      </c>
      <c r="I442" s="18" t="s">
        <v>26</v>
      </c>
      <c r="J442" s="15" t="n">
        <v>2003</v>
      </c>
      <c r="K442" s="19" t="s">
        <v>27</v>
      </c>
      <c r="L442" s="15" t="s">
        <v>28</v>
      </c>
      <c r="M442" s="15" t="s">
        <v>33</v>
      </c>
      <c r="N442" s="17" t="s">
        <v>83</v>
      </c>
      <c r="O442" s="15" t="s">
        <v>54</v>
      </c>
      <c r="P442" s="17" t="s">
        <v>1147</v>
      </c>
      <c r="Q442" s="21" t="s">
        <v>302</v>
      </c>
      <c r="R442" s="21"/>
      <c r="S442" s="21"/>
      <c r="T442" s="28"/>
      <c r="U442" s="24"/>
    </row>
    <row r="443" s="25" customFormat="true" ht="41.4" hidden="false" customHeight="false" outlineLevel="0" collapsed="false">
      <c r="A443" s="36" t="s">
        <v>1148</v>
      </c>
      <c r="B443" s="26"/>
      <c r="C443" s="14" t="s">
        <v>1149</v>
      </c>
      <c r="D443" s="15" t="n">
        <v>4</v>
      </c>
      <c r="E443" s="27" t="n">
        <f aca="false">F443/2</f>
        <v>3120</v>
      </c>
      <c r="F443" s="16" t="n">
        <f aca="false">5200*1.2</f>
        <v>6240</v>
      </c>
      <c r="G443" s="15" t="s">
        <v>36</v>
      </c>
      <c r="H443" s="17" t="s">
        <v>25</v>
      </c>
      <c r="I443" s="18" t="s">
        <v>26</v>
      </c>
      <c r="J443" s="15" t="n">
        <v>2024</v>
      </c>
      <c r="K443" s="19" t="s">
        <v>65</v>
      </c>
      <c r="L443" s="15" t="s">
        <v>28</v>
      </c>
      <c r="M443" s="15" t="s">
        <v>33</v>
      </c>
      <c r="N443" s="17"/>
      <c r="O443" s="15"/>
      <c r="P443" s="15"/>
      <c r="Q443" s="21" t="s">
        <v>78</v>
      </c>
      <c r="R443" s="21"/>
      <c r="S443" s="21" t="s">
        <v>18</v>
      </c>
      <c r="T443" s="28"/>
      <c r="U443" s="34"/>
    </row>
    <row r="444" s="25" customFormat="true" ht="41.4" hidden="false" customHeight="false" outlineLevel="0" collapsed="false">
      <c r="A444" s="36" t="s">
        <v>1150</v>
      </c>
      <c r="B444" s="26" t="s">
        <v>1151</v>
      </c>
      <c r="C444" s="14" t="s">
        <v>465</v>
      </c>
      <c r="D444" s="15" t="n">
        <v>12</v>
      </c>
      <c r="E444" s="27" t="n">
        <f aca="false">F444/2</f>
        <v>28296</v>
      </c>
      <c r="F444" s="16" t="n">
        <v>56592</v>
      </c>
      <c r="G444" s="15" t="s">
        <v>36</v>
      </c>
      <c r="H444" s="17" t="s">
        <v>25</v>
      </c>
      <c r="I444" s="18" t="s">
        <v>26</v>
      </c>
      <c r="J444" s="15" t="n">
        <v>2021</v>
      </c>
      <c r="K444" s="19" t="s">
        <v>27</v>
      </c>
      <c r="L444" s="15" t="s">
        <v>28</v>
      </c>
      <c r="M444" s="15" t="s">
        <v>33</v>
      </c>
      <c r="N444" s="20" t="s">
        <v>397</v>
      </c>
      <c r="O444" s="15"/>
      <c r="P444" s="15"/>
      <c r="Q444" s="21"/>
      <c r="R444" s="21"/>
      <c r="S444" s="21"/>
      <c r="T444" s="31" t="n">
        <v>45859</v>
      </c>
      <c r="U444" s="34"/>
    </row>
    <row r="445" s="25" customFormat="true" ht="41.4" hidden="false" customHeight="false" outlineLevel="0" collapsed="false">
      <c r="A445" s="63" t="s">
        <v>1152</v>
      </c>
      <c r="B445" s="26"/>
      <c r="C445" s="14" t="s">
        <v>264</v>
      </c>
      <c r="D445" s="30" t="n">
        <v>12</v>
      </c>
      <c r="E445" s="16" t="n">
        <f aca="false">F445/2</f>
        <v>57250.8</v>
      </c>
      <c r="F445" s="16" t="n">
        <f aca="false">123120*0.93</f>
        <v>114501.6</v>
      </c>
      <c r="G445" s="15" t="s">
        <v>36</v>
      </c>
      <c r="H445" s="17" t="s">
        <v>25</v>
      </c>
      <c r="I445" s="18" t="s">
        <v>26</v>
      </c>
      <c r="J445" s="15" t="n">
        <v>2024</v>
      </c>
      <c r="K445" s="19" t="s">
        <v>27</v>
      </c>
      <c r="L445" s="15" t="s">
        <v>28</v>
      </c>
      <c r="M445" s="15" t="s">
        <v>33</v>
      </c>
      <c r="N445" s="17" t="s">
        <v>600</v>
      </c>
      <c r="O445" s="60"/>
      <c r="P445" s="60"/>
      <c r="Q445" s="21"/>
      <c r="R445" s="21"/>
      <c r="S445" s="40"/>
      <c r="T445" s="31" t="n">
        <v>45880</v>
      </c>
      <c r="U445" s="41"/>
    </row>
    <row r="446" s="25" customFormat="true" ht="41.4" hidden="false" customHeight="false" outlineLevel="0" collapsed="false">
      <c r="A446" s="63" t="s">
        <v>1153</v>
      </c>
      <c r="B446" s="26"/>
      <c r="C446" s="14" t="s">
        <v>264</v>
      </c>
      <c r="D446" s="30" t="n">
        <v>12</v>
      </c>
      <c r="E446" s="16" t="n">
        <f aca="false">F446/2</f>
        <v>62339.76</v>
      </c>
      <c r="F446" s="16" t="n">
        <f aca="false">134064*0.93</f>
        <v>124679.52</v>
      </c>
      <c r="G446" s="15" t="s">
        <v>36</v>
      </c>
      <c r="H446" s="17" t="s">
        <v>25</v>
      </c>
      <c r="I446" s="18" t="s">
        <v>26</v>
      </c>
      <c r="J446" s="15" t="n">
        <v>2024</v>
      </c>
      <c r="K446" s="19" t="s">
        <v>27</v>
      </c>
      <c r="L446" s="15" t="s">
        <v>28</v>
      </c>
      <c r="M446" s="15" t="s">
        <v>33</v>
      </c>
      <c r="N446" s="17" t="s">
        <v>83</v>
      </c>
      <c r="O446" s="60"/>
      <c r="P446" s="60"/>
      <c r="Q446" s="21"/>
      <c r="R446" s="21"/>
      <c r="S446" s="40"/>
      <c r="T446" s="31" t="n">
        <v>45880</v>
      </c>
      <c r="U446" s="41"/>
    </row>
    <row r="447" s="25" customFormat="true" ht="41.4" hidden="false" customHeight="false" outlineLevel="0" collapsed="false">
      <c r="A447" s="63" t="s">
        <v>1154</v>
      </c>
      <c r="B447" s="26"/>
      <c r="C447" s="14" t="s">
        <v>264</v>
      </c>
      <c r="D447" s="30" t="n">
        <v>12</v>
      </c>
      <c r="E447" s="16" t="n">
        <f aca="false">F447/2</f>
        <v>52161.84</v>
      </c>
      <c r="F447" s="16" t="n">
        <f aca="false">112176*0.93</f>
        <v>104323.68</v>
      </c>
      <c r="G447" s="15" t="s">
        <v>36</v>
      </c>
      <c r="H447" s="17" t="s">
        <v>25</v>
      </c>
      <c r="I447" s="18" t="s">
        <v>26</v>
      </c>
      <c r="J447" s="15" t="n">
        <v>2024</v>
      </c>
      <c r="K447" s="19" t="s">
        <v>27</v>
      </c>
      <c r="L447" s="15" t="s">
        <v>28</v>
      </c>
      <c r="M447" s="15" t="s">
        <v>33</v>
      </c>
      <c r="N447" s="17" t="s">
        <v>270</v>
      </c>
      <c r="O447" s="60"/>
      <c r="P447" s="60"/>
      <c r="Q447" s="21"/>
      <c r="R447" s="21"/>
      <c r="S447" s="40"/>
      <c r="T447" s="31" t="n">
        <v>45880</v>
      </c>
      <c r="U447" s="41"/>
    </row>
    <row r="448" s="25" customFormat="true" ht="41.4" hidden="false" customHeight="false" outlineLevel="0" collapsed="false">
      <c r="A448" s="36" t="s">
        <v>1155</v>
      </c>
      <c r="B448" s="26"/>
      <c r="C448" s="14" t="s">
        <v>1156</v>
      </c>
      <c r="D448" s="15" t="n">
        <v>12</v>
      </c>
      <c r="E448" s="27"/>
      <c r="F448" s="27" t="s">
        <v>1157</v>
      </c>
      <c r="G448" s="15" t="s">
        <v>36</v>
      </c>
      <c r="H448" s="17" t="s">
        <v>25</v>
      </c>
      <c r="I448" s="18" t="s">
        <v>26</v>
      </c>
      <c r="J448" s="15" t="n">
        <v>2021</v>
      </c>
      <c r="K448" s="19" t="s">
        <v>27</v>
      </c>
      <c r="L448" s="15" t="s">
        <v>28</v>
      </c>
      <c r="M448" s="15" t="s">
        <v>33</v>
      </c>
      <c r="N448" s="20"/>
      <c r="O448" s="15"/>
      <c r="P448" s="15"/>
      <c r="Q448" s="21"/>
      <c r="R448" s="21"/>
      <c r="S448" s="21"/>
      <c r="T448" s="28"/>
      <c r="U448" s="34"/>
    </row>
    <row r="449" s="25" customFormat="true" ht="41.4" hidden="false" customHeight="false" outlineLevel="0" collapsed="false">
      <c r="A449" s="39" t="s">
        <v>1158</v>
      </c>
      <c r="B449" s="26"/>
      <c r="C449" s="14" t="s">
        <v>264</v>
      </c>
      <c r="D449" s="30" t="n">
        <v>12</v>
      </c>
      <c r="E449" s="27" t="n">
        <f aca="false">F449/2</f>
        <v>52161.84</v>
      </c>
      <c r="F449" s="16" t="n">
        <f aca="false">112176*0.93</f>
        <v>104323.68</v>
      </c>
      <c r="G449" s="15" t="s">
        <v>36</v>
      </c>
      <c r="H449" s="17" t="s">
        <v>25</v>
      </c>
      <c r="I449" s="18" t="s">
        <v>26</v>
      </c>
      <c r="J449" s="15" t="n">
        <v>2024</v>
      </c>
      <c r="K449" s="19" t="s">
        <v>27</v>
      </c>
      <c r="L449" s="15" t="s">
        <v>28</v>
      </c>
      <c r="M449" s="15" t="s">
        <v>33</v>
      </c>
      <c r="N449" s="17" t="s">
        <v>270</v>
      </c>
      <c r="O449" s="60"/>
      <c r="P449" s="60"/>
      <c r="Q449" s="21"/>
      <c r="R449" s="21"/>
      <c r="S449" s="21"/>
      <c r="T449" s="31" t="n">
        <v>45880</v>
      </c>
      <c r="U449" s="24"/>
    </row>
    <row r="450" s="25" customFormat="true" ht="41.4" hidden="false" customHeight="false" outlineLevel="0" collapsed="false">
      <c r="A450" s="64" t="s">
        <v>1159</v>
      </c>
      <c r="B450" s="26"/>
      <c r="C450" s="65" t="s">
        <v>264</v>
      </c>
      <c r="D450" s="30" t="n">
        <v>12</v>
      </c>
      <c r="E450" s="16" t="n">
        <f aca="false">F450/2</f>
        <v>79515</v>
      </c>
      <c r="F450" s="16" t="n">
        <f aca="false">171000*0.93</f>
        <v>159030</v>
      </c>
      <c r="G450" s="15" t="s">
        <v>36</v>
      </c>
      <c r="H450" s="17" t="s">
        <v>25</v>
      </c>
      <c r="I450" s="18" t="s">
        <v>26</v>
      </c>
      <c r="J450" s="15" t="n">
        <v>2024</v>
      </c>
      <c r="K450" s="19" t="s">
        <v>27</v>
      </c>
      <c r="L450" s="15" t="s">
        <v>28</v>
      </c>
      <c r="M450" s="15" t="s">
        <v>33</v>
      </c>
      <c r="N450" s="30"/>
      <c r="O450" s="60"/>
      <c r="P450" s="60"/>
      <c r="Q450" s="21"/>
      <c r="R450" s="21"/>
      <c r="S450" s="40"/>
      <c r="T450" s="31" t="n">
        <v>45880</v>
      </c>
      <c r="U450" s="41"/>
    </row>
    <row r="451" s="25" customFormat="true" ht="41.4" hidden="false" customHeight="false" outlineLevel="0" collapsed="false">
      <c r="A451" s="36" t="s">
        <v>1160</v>
      </c>
      <c r="B451" s="26"/>
      <c r="C451" s="14" t="s">
        <v>1161</v>
      </c>
      <c r="D451" s="15" t="n">
        <v>6</v>
      </c>
      <c r="E451" s="27" t="n">
        <f aca="false">F451/2</f>
        <v>6045</v>
      </c>
      <c r="F451" s="16" t="n">
        <v>12090</v>
      </c>
      <c r="G451" s="15" t="s">
        <v>36</v>
      </c>
      <c r="H451" s="17" t="s">
        <v>25</v>
      </c>
      <c r="I451" s="18" t="s">
        <v>26</v>
      </c>
      <c r="J451" s="15" t="n">
        <v>2022</v>
      </c>
      <c r="K451" s="19" t="s">
        <v>27</v>
      </c>
      <c r="L451" s="15" t="s">
        <v>28</v>
      </c>
      <c r="M451" s="15" t="s">
        <v>33</v>
      </c>
      <c r="N451" s="20"/>
      <c r="O451" s="15"/>
      <c r="P451" s="15"/>
      <c r="Q451" s="21"/>
      <c r="R451" s="21"/>
      <c r="S451" s="21"/>
      <c r="T451" s="28"/>
      <c r="U451" s="34"/>
    </row>
    <row r="452" s="25" customFormat="true" ht="41.4" hidden="false" customHeight="false" outlineLevel="0" collapsed="false">
      <c r="A452" s="63" t="s">
        <v>1162</v>
      </c>
      <c r="B452" s="26"/>
      <c r="C452" s="14" t="s">
        <v>264</v>
      </c>
      <c r="D452" s="30" t="n">
        <v>12</v>
      </c>
      <c r="E452" s="16" t="n">
        <f aca="false">F452/2</f>
        <v>79515</v>
      </c>
      <c r="F452" s="16" t="n">
        <f aca="false">171000*0.93</f>
        <v>159030</v>
      </c>
      <c r="G452" s="15" t="s">
        <v>36</v>
      </c>
      <c r="H452" s="17" t="s">
        <v>25</v>
      </c>
      <c r="I452" s="18" t="s">
        <v>26</v>
      </c>
      <c r="J452" s="15" t="n">
        <v>2024</v>
      </c>
      <c r="K452" s="19" t="s">
        <v>27</v>
      </c>
      <c r="L452" s="15" t="s">
        <v>28</v>
      </c>
      <c r="M452" s="15" t="s">
        <v>33</v>
      </c>
      <c r="N452" s="30"/>
      <c r="O452" s="60"/>
      <c r="P452" s="60"/>
      <c r="Q452" s="21"/>
      <c r="R452" s="21"/>
      <c r="S452" s="40"/>
      <c r="T452" s="31" t="n">
        <v>45880</v>
      </c>
      <c r="U452" s="41"/>
    </row>
    <row r="453" s="25" customFormat="true" ht="41.4" hidden="false" customHeight="false" outlineLevel="0" collapsed="false">
      <c r="A453" s="63" t="s">
        <v>1163</v>
      </c>
      <c r="B453" s="26"/>
      <c r="C453" s="14" t="s">
        <v>264</v>
      </c>
      <c r="D453" s="30" t="n">
        <v>12</v>
      </c>
      <c r="E453" s="16" t="n">
        <f aca="false">F453/2</f>
        <v>79515</v>
      </c>
      <c r="F453" s="16" t="n">
        <f aca="false">171000*0.93</f>
        <v>159030</v>
      </c>
      <c r="G453" s="15" t="s">
        <v>36</v>
      </c>
      <c r="H453" s="17" t="s">
        <v>25</v>
      </c>
      <c r="I453" s="18" t="s">
        <v>26</v>
      </c>
      <c r="J453" s="15" t="n">
        <v>2024</v>
      </c>
      <c r="K453" s="19" t="s">
        <v>27</v>
      </c>
      <c r="L453" s="15" t="s">
        <v>28</v>
      </c>
      <c r="M453" s="15" t="s">
        <v>33</v>
      </c>
      <c r="N453" s="30"/>
      <c r="O453" s="60"/>
      <c r="P453" s="60"/>
      <c r="Q453" s="21"/>
      <c r="R453" s="21"/>
      <c r="S453" s="40"/>
      <c r="T453" s="31" t="n">
        <v>45880</v>
      </c>
      <c r="U453" s="41"/>
    </row>
    <row r="454" s="25" customFormat="true" ht="41.4" hidden="false" customHeight="false" outlineLevel="0" collapsed="false">
      <c r="A454" s="36" t="s">
        <v>1164</v>
      </c>
      <c r="B454" s="26"/>
      <c r="C454" s="14" t="s">
        <v>152</v>
      </c>
      <c r="D454" s="15" t="n">
        <v>4</v>
      </c>
      <c r="E454" s="27" t="n">
        <f aca="false">F454/2</f>
        <v>50</v>
      </c>
      <c r="F454" s="16" t="n">
        <v>100</v>
      </c>
      <c r="G454" s="15" t="s">
        <v>36</v>
      </c>
      <c r="H454" s="17" t="s">
        <v>25</v>
      </c>
      <c r="I454" s="18" t="s">
        <v>26</v>
      </c>
      <c r="J454" s="15" t="n">
        <v>2023</v>
      </c>
      <c r="K454" s="19" t="s">
        <v>27</v>
      </c>
      <c r="L454" s="15" t="s">
        <v>28</v>
      </c>
      <c r="M454" s="15" t="s">
        <v>33</v>
      </c>
      <c r="N454" s="17" t="s">
        <v>153</v>
      </c>
      <c r="O454" s="15" t="s">
        <v>250</v>
      </c>
      <c r="P454" s="15"/>
      <c r="Q454" s="21"/>
      <c r="R454" s="21"/>
      <c r="S454" s="21"/>
      <c r="T454" s="28"/>
      <c r="U454" s="24"/>
    </row>
    <row r="455" s="25" customFormat="true" ht="41.4" hidden="false" customHeight="false" outlineLevel="0" collapsed="false">
      <c r="A455" s="36" t="s">
        <v>1165</v>
      </c>
      <c r="B455" s="26"/>
      <c r="C455" s="14" t="s">
        <v>1166</v>
      </c>
      <c r="D455" s="15" t="n">
        <v>4</v>
      </c>
      <c r="E455" s="27" t="n">
        <f aca="false">F455/2</f>
        <v>6172</v>
      </c>
      <c r="F455" s="16" t="n">
        <f aca="false">CEILING(10286*1.2,1)</f>
        <v>12344</v>
      </c>
      <c r="G455" s="15" t="s">
        <v>36</v>
      </c>
      <c r="H455" s="17" t="s">
        <v>25</v>
      </c>
      <c r="I455" s="18" t="s">
        <v>26</v>
      </c>
      <c r="J455" s="15" t="n">
        <v>2025</v>
      </c>
      <c r="K455" s="19" t="s">
        <v>27</v>
      </c>
      <c r="L455" s="15" t="s">
        <v>28</v>
      </c>
      <c r="M455" s="15" t="s">
        <v>33</v>
      </c>
      <c r="N455" s="17"/>
      <c r="O455" s="15"/>
      <c r="P455" s="15"/>
      <c r="Q455" s="21"/>
      <c r="R455" s="21"/>
      <c r="S455" s="21"/>
      <c r="T455" s="28"/>
      <c r="U455" s="24"/>
    </row>
    <row r="456" s="25" customFormat="true" ht="41.4" hidden="false" customHeight="false" outlineLevel="0" collapsed="false">
      <c r="A456" s="36" t="s">
        <v>1167</v>
      </c>
      <c r="B456" s="26" t="s">
        <v>1168</v>
      </c>
      <c r="C456" s="14" t="s">
        <v>1169</v>
      </c>
      <c r="D456" s="15" t="n">
        <v>6</v>
      </c>
      <c r="E456" s="27" t="n">
        <f aca="false">F456/2</f>
        <v>1350</v>
      </c>
      <c r="F456" s="16" t="n">
        <v>2700</v>
      </c>
      <c r="G456" s="15" t="s">
        <v>36</v>
      </c>
      <c r="H456" s="17" t="s">
        <v>25</v>
      </c>
      <c r="I456" s="18" t="s">
        <v>26</v>
      </c>
      <c r="J456" s="15" t="n">
        <v>2019</v>
      </c>
      <c r="K456" s="19" t="s">
        <v>27</v>
      </c>
      <c r="L456" s="15" t="s">
        <v>28</v>
      </c>
      <c r="M456" s="15" t="s">
        <v>33</v>
      </c>
      <c r="N456" s="20"/>
      <c r="O456" s="15"/>
      <c r="P456" s="15"/>
      <c r="Q456" s="21"/>
      <c r="R456" s="21"/>
      <c r="S456" s="21"/>
      <c r="T456" s="28"/>
      <c r="U456" s="34"/>
    </row>
    <row r="457" s="25" customFormat="true" ht="41.4" hidden="false" customHeight="false" outlineLevel="0" collapsed="false">
      <c r="A457" s="36" t="s">
        <v>1170</v>
      </c>
      <c r="B457" s="26"/>
      <c r="C457" s="14" t="s">
        <v>142</v>
      </c>
      <c r="D457" s="15" t="n">
        <v>4</v>
      </c>
      <c r="E457" s="27" t="n">
        <f aca="false">F457/2</f>
        <v>1404</v>
      </c>
      <c r="F457" s="16" t="n">
        <v>2808</v>
      </c>
      <c r="G457" s="15" t="s">
        <v>36</v>
      </c>
      <c r="H457" s="17" t="s">
        <v>25</v>
      </c>
      <c r="I457" s="18" t="s">
        <v>26</v>
      </c>
      <c r="J457" s="15" t="n">
        <v>2023</v>
      </c>
      <c r="K457" s="19" t="s">
        <v>27</v>
      </c>
      <c r="L457" s="15" t="s">
        <v>28</v>
      </c>
      <c r="M457" s="15" t="s">
        <v>33</v>
      </c>
      <c r="N457" s="20"/>
      <c r="O457" s="15"/>
      <c r="P457" s="15"/>
      <c r="Q457" s="21"/>
      <c r="R457" s="21"/>
      <c r="S457" s="21"/>
      <c r="T457" s="28"/>
      <c r="U457" s="34"/>
    </row>
    <row r="458" s="25" customFormat="true" ht="41.4" hidden="false" customHeight="false" outlineLevel="0" collapsed="false">
      <c r="A458" s="36" t="s">
        <v>1171</v>
      </c>
      <c r="B458" s="26" t="s">
        <v>1172</v>
      </c>
      <c r="C458" s="14" t="s">
        <v>90</v>
      </c>
      <c r="D458" s="15" t="n">
        <v>12</v>
      </c>
      <c r="E458" s="27" t="n">
        <f aca="false">F458/2</f>
        <v>25200</v>
      </c>
      <c r="F458" s="16" t="n">
        <f aca="false">21000*2*1.2</f>
        <v>50400</v>
      </c>
      <c r="G458" s="15" t="s">
        <v>36</v>
      </c>
      <c r="H458" s="17" t="s">
        <v>25</v>
      </c>
      <c r="I458" s="18" t="s">
        <v>26</v>
      </c>
      <c r="J458" s="15" t="n">
        <v>2018</v>
      </c>
      <c r="K458" s="19" t="s">
        <v>27</v>
      </c>
      <c r="L458" s="15" t="s">
        <v>28</v>
      </c>
      <c r="M458" s="15" t="s">
        <v>33</v>
      </c>
      <c r="N458" s="17" t="s">
        <v>91</v>
      </c>
      <c r="O458" s="15"/>
      <c r="P458" s="15"/>
      <c r="Q458" s="21" t="s">
        <v>78</v>
      </c>
      <c r="R458" s="21"/>
      <c r="S458" s="21"/>
      <c r="T458" s="28"/>
      <c r="U458" s="24"/>
    </row>
    <row r="459" s="25" customFormat="true" ht="82.8" hidden="false" customHeight="false" outlineLevel="0" collapsed="false">
      <c r="A459" s="66" t="s">
        <v>1173</v>
      </c>
      <c r="B459" s="26" t="s">
        <v>1174</v>
      </c>
      <c r="C459" s="14" t="s">
        <v>1175</v>
      </c>
      <c r="D459" s="30" t="n">
        <v>12</v>
      </c>
      <c r="E459" s="27" t="n">
        <f aca="false">F459/2</f>
        <v>6365</v>
      </c>
      <c r="F459" s="16" t="n">
        <v>12730</v>
      </c>
      <c r="G459" s="15" t="s">
        <v>36</v>
      </c>
      <c r="H459" s="17" t="s">
        <v>1176</v>
      </c>
      <c r="I459" s="18" t="s">
        <v>26</v>
      </c>
      <c r="J459" s="15" t="n">
        <v>2022</v>
      </c>
      <c r="K459" s="19" t="s">
        <v>27</v>
      </c>
      <c r="L459" s="15" t="s">
        <v>28</v>
      </c>
      <c r="M459" s="15" t="s">
        <v>33</v>
      </c>
      <c r="N459" s="17" t="s">
        <v>91</v>
      </c>
      <c r="O459" s="60"/>
      <c r="P459" s="60"/>
      <c r="Q459" s="21"/>
      <c r="R459" s="21"/>
      <c r="S459" s="21"/>
      <c r="T459" s="28"/>
      <c r="U459" s="24"/>
    </row>
    <row r="460" s="25" customFormat="true" ht="41.4" hidden="false" customHeight="false" outlineLevel="0" collapsed="false">
      <c r="A460" s="36" t="s">
        <v>1177</v>
      </c>
      <c r="B460" s="26" t="s">
        <v>1178</v>
      </c>
      <c r="C460" s="14" t="s">
        <v>122</v>
      </c>
      <c r="D460" s="15" t="n">
        <v>12</v>
      </c>
      <c r="E460" s="27" t="n">
        <v>23628</v>
      </c>
      <c r="F460" s="16" t="n">
        <v>39204</v>
      </c>
      <c r="G460" s="15" t="s">
        <v>36</v>
      </c>
      <c r="H460" s="17" t="s">
        <v>25</v>
      </c>
      <c r="I460" s="18" t="s">
        <v>26</v>
      </c>
      <c r="J460" s="15" t="n">
        <v>2017</v>
      </c>
      <c r="K460" s="19" t="s">
        <v>27</v>
      </c>
      <c r="L460" s="15" t="s">
        <v>28</v>
      </c>
      <c r="M460" s="15" t="s">
        <v>33</v>
      </c>
      <c r="N460" s="17" t="s">
        <v>375</v>
      </c>
      <c r="O460" s="15"/>
      <c r="P460" s="15"/>
      <c r="Q460" s="21"/>
      <c r="R460" s="21"/>
      <c r="S460" s="21"/>
      <c r="T460" s="28"/>
      <c r="U460" s="24"/>
    </row>
    <row r="461" s="25" customFormat="true" ht="41.4" hidden="false" customHeight="false" outlineLevel="0" collapsed="false">
      <c r="A461" s="36" t="s">
        <v>1179</v>
      </c>
      <c r="B461" s="26"/>
      <c r="C461" s="14" t="s">
        <v>157</v>
      </c>
      <c r="D461" s="15" t="n">
        <v>4</v>
      </c>
      <c r="E461" s="27" t="n">
        <f aca="false">F461/2</f>
        <v>775</v>
      </c>
      <c r="F461" s="16" t="n">
        <v>1550</v>
      </c>
      <c r="G461" s="15" t="s">
        <v>36</v>
      </c>
      <c r="H461" s="17" t="s">
        <v>25</v>
      </c>
      <c r="I461" s="18" t="s">
        <v>26</v>
      </c>
      <c r="J461" s="15" t="n">
        <v>2023</v>
      </c>
      <c r="K461" s="19" t="s">
        <v>27</v>
      </c>
      <c r="L461" s="15" t="s">
        <v>28</v>
      </c>
      <c r="M461" s="15" t="s">
        <v>33</v>
      </c>
      <c r="N461" s="17"/>
      <c r="O461" s="15"/>
      <c r="P461" s="15"/>
      <c r="Q461" s="21"/>
      <c r="R461" s="21"/>
      <c r="S461" s="21"/>
      <c r="T461" s="28"/>
      <c r="U461" s="24"/>
    </row>
    <row r="462" s="25" customFormat="true" ht="41.4" hidden="false" customHeight="false" outlineLevel="0" collapsed="false">
      <c r="A462" s="36" t="s">
        <v>1180</v>
      </c>
      <c r="B462" s="26" t="s">
        <v>1181</v>
      </c>
      <c r="C462" s="14" t="s">
        <v>122</v>
      </c>
      <c r="D462" s="15" t="n">
        <v>12</v>
      </c>
      <c r="E462" s="27" t="n">
        <v>23628</v>
      </c>
      <c r="F462" s="16" t="n">
        <v>39204</v>
      </c>
      <c r="G462" s="15" t="s">
        <v>36</v>
      </c>
      <c r="H462" s="17" t="s">
        <v>25</v>
      </c>
      <c r="I462" s="18" t="s">
        <v>26</v>
      </c>
      <c r="J462" s="15" t="n">
        <v>2017</v>
      </c>
      <c r="K462" s="19" t="s">
        <v>27</v>
      </c>
      <c r="L462" s="15" t="s">
        <v>28</v>
      </c>
      <c r="M462" s="15" t="s">
        <v>33</v>
      </c>
      <c r="N462" s="17" t="s">
        <v>1182</v>
      </c>
      <c r="O462" s="15"/>
      <c r="P462" s="15"/>
      <c r="Q462" s="21"/>
      <c r="R462" s="21"/>
      <c r="S462" s="21"/>
      <c r="T462" s="28"/>
      <c r="U462" s="24"/>
    </row>
    <row r="463" s="25" customFormat="true" ht="41.4" hidden="false" customHeight="false" outlineLevel="0" collapsed="false">
      <c r="A463" s="63" t="s">
        <v>1183</v>
      </c>
      <c r="B463" s="26" t="n">
        <f aca="false">3230.5*12*1.3</f>
        <v>50395.8</v>
      </c>
      <c r="C463" s="14" t="s">
        <v>264</v>
      </c>
      <c r="D463" s="30" t="n">
        <v>12</v>
      </c>
      <c r="E463" s="16" t="n">
        <f aca="false">F463/2</f>
        <v>75698.28</v>
      </c>
      <c r="F463" s="16" t="n">
        <f aca="false">162792*0.93</f>
        <v>151396.56</v>
      </c>
      <c r="G463" s="15" t="s">
        <v>36</v>
      </c>
      <c r="H463" s="17" t="s">
        <v>25</v>
      </c>
      <c r="I463" s="18" t="s">
        <v>26</v>
      </c>
      <c r="J463" s="15" t="n">
        <v>2024</v>
      </c>
      <c r="K463" s="19" t="s">
        <v>27</v>
      </c>
      <c r="L463" s="15" t="s">
        <v>28</v>
      </c>
      <c r="M463" s="15" t="s">
        <v>33</v>
      </c>
      <c r="N463" s="30"/>
      <c r="O463" s="60"/>
      <c r="P463" s="60"/>
      <c r="Q463" s="21"/>
      <c r="R463" s="21"/>
      <c r="S463" s="40"/>
      <c r="T463" s="31" t="n">
        <v>45880</v>
      </c>
      <c r="U463" s="41"/>
    </row>
    <row r="464" s="25" customFormat="true" ht="41.4" hidden="false" customHeight="false" outlineLevel="0" collapsed="false">
      <c r="A464" s="36" t="s">
        <v>1184</v>
      </c>
      <c r="B464" s="26" t="s">
        <v>1185</v>
      </c>
      <c r="C464" s="14" t="s">
        <v>296</v>
      </c>
      <c r="D464" s="15" t="n">
        <v>6</v>
      </c>
      <c r="E464" s="27" t="n">
        <f aca="false">F464/2</f>
        <v>650</v>
      </c>
      <c r="F464" s="16" t="n">
        <v>1300</v>
      </c>
      <c r="G464" s="15" t="s">
        <v>36</v>
      </c>
      <c r="H464" s="17" t="s">
        <v>25</v>
      </c>
      <c r="I464" s="18" t="s">
        <v>26</v>
      </c>
      <c r="J464" s="15" t="n">
        <v>2021</v>
      </c>
      <c r="K464" s="19" t="s">
        <v>27</v>
      </c>
      <c r="L464" s="15" t="s">
        <v>28</v>
      </c>
      <c r="M464" s="15" t="s">
        <v>33</v>
      </c>
      <c r="N464" s="17" t="s">
        <v>600</v>
      </c>
      <c r="O464" s="15"/>
      <c r="P464" s="15"/>
      <c r="Q464" s="21"/>
      <c r="R464" s="21"/>
      <c r="S464" s="21"/>
      <c r="T464" s="28"/>
      <c r="U464" s="34"/>
    </row>
    <row r="465" s="25" customFormat="true" ht="41.4" hidden="false" customHeight="false" outlineLevel="0" collapsed="false">
      <c r="A465" s="36" t="s">
        <v>1186</v>
      </c>
      <c r="B465" s="26" t="s">
        <v>1187</v>
      </c>
      <c r="C465" s="14" t="s">
        <v>404</v>
      </c>
      <c r="D465" s="15" t="n">
        <v>4</v>
      </c>
      <c r="E465" s="27" t="n">
        <f aca="false">F465/2</f>
        <v>3600</v>
      </c>
      <c r="F465" s="16" t="n">
        <v>7200</v>
      </c>
      <c r="G465" s="15" t="s">
        <v>36</v>
      </c>
      <c r="H465" s="17" t="s">
        <v>25</v>
      </c>
      <c r="I465" s="18" t="s">
        <v>26</v>
      </c>
      <c r="J465" s="15" t="n">
        <v>2018</v>
      </c>
      <c r="K465" s="19" t="s">
        <v>27</v>
      </c>
      <c r="L465" s="15" t="s">
        <v>28</v>
      </c>
      <c r="M465" s="15" t="s">
        <v>33</v>
      </c>
      <c r="N465" s="17" t="s">
        <v>600</v>
      </c>
      <c r="O465" s="15"/>
      <c r="P465" s="15"/>
      <c r="Q465" s="21"/>
      <c r="R465" s="21" t="s">
        <v>30</v>
      </c>
      <c r="S465" s="21"/>
      <c r="T465" s="31" t="n">
        <v>45848</v>
      </c>
      <c r="U465" s="24"/>
    </row>
    <row r="466" s="25" customFormat="true" ht="41.4" hidden="false" customHeight="false" outlineLevel="0" collapsed="false">
      <c r="A466" s="36" t="s">
        <v>1188</v>
      </c>
      <c r="B466" s="26" t="n">
        <v>13771</v>
      </c>
      <c r="C466" s="14" t="s">
        <v>246</v>
      </c>
      <c r="D466" s="15" t="n">
        <v>12</v>
      </c>
      <c r="E466" s="27" t="n">
        <f aca="false">F466/2</f>
        <v>6025.5</v>
      </c>
      <c r="F466" s="38" t="n">
        <v>12051</v>
      </c>
      <c r="G466" s="15" t="s">
        <v>24</v>
      </c>
      <c r="H466" s="17" t="s">
        <v>25</v>
      </c>
      <c r="I466" s="18" t="s">
        <v>26</v>
      </c>
      <c r="J466" s="15" t="n">
        <v>2000</v>
      </c>
      <c r="K466" s="19" t="s">
        <v>27</v>
      </c>
      <c r="L466" s="15" t="s">
        <v>28</v>
      </c>
      <c r="M466" s="15" t="s">
        <v>33</v>
      </c>
      <c r="N466" s="17"/>
      <c r="O466" s="15"/>
      <c r="P466" s="15"/>
      <c r="Q466" s="21" t="s">
        <v>280</v>
      </c>
      <c r="R466" s="21"/>
      <c r="S466" s="21"/>
      <c r="T466" s="31" t="n">
        <v>45882</v>
      </c>
      <c r="U466" s="24" t="s">
        <v>1189</v>
      </c>
    </row>
    <row r="467" s="25" customFormat="true" ht="41.4" hidden="false" customHeight="false" outlineLevel="0" collapsed="false">
      <c r="A467" s="36" t="s">
        <v>1190</v>
      </c>
      <c r="B467" s="26" t="s">
        <v>1191</v>
      </c>
      <c r="C467" s="14" t="s">
        <v>197</v>
      </c>
      <c r="D467" s="15" t="n">
        <v>4</v>
      </c>
      <c r="E467" s="27" t="n">
        <f aca="false">F467/2</f>
        <v>625</v>
      </c>
      <c r="F467" s="16" t="n">
        <v>1250</v>
      </c>
      <c r="G467" s="15" t="s">
        <v>36</v>
      </c>
      <c r="H467" s="17" t="s">
        <v>25</v>
      </c>
      <c r="I467" s="18" t="s">
        <v>26</v>
      </c>
      <c r="J467" s="15" t="n">
        <v>2020</v>
      </c>
      <c r="K467" s="19" t="s">
        <v>27</v>
      </c>
      <c r="L467" s="15" t="s">
        <v>28</v>
      </c>
      <c r="M467" s="15" t="s">
        <v>33</v>
      </c>
      <c r="N467" s="20"/>
      <c r="O467" s="15"/>
      <c r="P467" s="15"/>
      <c r="Q467" s="21"/>
      <c r="R467" s="21"/>
      <c r="S467" s="21"/>
      <c r="T467" s="28"/>
      <c r="U467" s="34"/>
    </row>
    <row r="468" s="25" customFormat="true" ht="41.4" hidden="false" customHeight="false" outlineLevel="0" collapsed="false">
      <c r="A468" s="36" t="s">
        <v>1192</v>
      </c>
      <c r="B468" s="26" t="s">
        <v>1193</v>
      </c>
      <c r="C468" s="14"/>
      <c r="D468" s="15" t="n">
        <v>4</v>
      </c>
      <c r="E468" s="27" t="n">
        <f aca="false">F468/2</f>
        <v>50</v>
      </c>
      <c r="F468" s="16" t="n">
        <v>100</v>
      </c>
      <c r="G468" s="15" t="s">
        <v>354</v>
      </c>
      <c r="H468" s="17" t="s">
        <v>25</v>
      </c>
      <c r="I468" s="18" t="s">
        <v>26</v>
      </c>
      <c r="J468" s="15" t="n">
        <v>2012</v>
      </c>
      <c r="K468" s="19" t="s">
        <v>27</v>
      </c>
      <c r="L468" s="15" t="s">
        <v>28</v>
      </c>
      <c r="M468" s="15" t="s">
        <v>33</v>
      </c>
      <c r="N468" s="17"/>
      <c r="O468" s="15" t="s">
        <v>54</v>
      </c>
      <c r="P468" s="15"/>
      <c r="Q468" s="21" t="s">
        <v>47</v>
      </c>
      <c r="R468" s="21"/>
      <c r="S468" s="21"/>
      <c r="T468" s="28"/>
      <c r="U468" s="24"/>
    </row>
    <row r="469" s="25" customFormat="true" ht="41.4" hidden="false" customHeight="false" outlineLevel="0" collapsed="false">
      <c r="A469" s="36" t="s">
        <v>1194</v>
      </c>
      <c r="B469" s="26" t="s">
        <v>1195</v>
      </c>
      <c r="C469" s="14" t="s">
        <v>1196</v>
      </c>
      <c r="D469" s="15" t="n">
        <v>12</v>
      </c>
      <c r="E469" s="27" t="n">
        <f aca="false">F469/2</f>
        <v>3514</v>
      </c>
      <c r="F469" s="16" t="n">
        <v>7028</v>
      </c>
      <c r="G469" s="15" t="s">
        <v>36</v>
      </c>
      <c r="H469" s="17" t="s">
        <v>25</v>
      </c>
      <c r="I469" s="18" t="s">
        <v>26</v>
      </c>
      <c r="J469" s="15" t="n">
        <v>2020</v>
      </c>
      <c r="K469" s="19" t="s">
        <v>27</v>
      </c>
      <c r="L469" s="15" t="s">
        <v>28</v>
      </c>
      <c r="M469" s="15" t="s">
        <v>33</v>
      </c>
      <c r="N469" s="20"/>
      <c r="O469" s="15"/>
      <c r="P469" s="15"/>
      <c r="Q469" s="21" t="s">
        <v>78</v>
      </c>
      <c r="R469" s="21"/>
      <c r="S469" s="21"/>
      <c r="T469" s="31" t="n">
        <v>45846</v>
      </c>
      <c r="U469" s="34"/>
    </row>
    <row r="470" s="25" customFormat="true" ht="41.4" hidden="false" customHeight="false" outlineLevel="0" collapsed="false">
      <c r="A470" s="36" t="s">
        <v>1197</v>
      </c>
      <c r="B470" s="26" t="s">
        <v>1198</v>
      </c>
      <c r="C470" s="14" t="s">
        <v>1156</v>
      </c>
      <c r="D470" s="15" t="n">
        <v>12</v>
      </c>
      <c r="E470" s="27" t="n">
        <f aca="false">F470/2</f>
        <v>4320</v>
      </c>
      <c r="F470" s="16" t="n">
        <f aca="false">7200*1.2</f>
        <v>8640</v>
      </c>
      <c r="G470" s="15" t="s">
        <v>36</v>
      </c>
      <c r="H470" s="17" t="s">
        <v>25</v>
      </c>
      <c r="I470" s="18" t="s">
        <v>26</v>
      </c>
      <c r="J470" s="15" t="n">
        <v>2021</v>
      </c>
      <c r="K470" s="19" t="s">
        <v>27</v>
      </c>
      <c r="L470" s="15" t="s">
        <v>28</v>
      </c>
      <c r="M470" s="15" t="s">
        <v>33</v>
      </c>
      <c r="N470" s="20"/>
      <c r="O470" s="15"/>
      <c r="P470" s="15"/>
      <c r="Q470" s="21"/>
      <c r="R470" s="21"/>
      <c r="S470" s="21"/>
      <c r="T470" s="28"/>
      <c r="U470" s="34"/>
    </row>
    <row r="471" s="25" customFormat="true" ht="41.4" hidden="false" customHeight="false" outlineLevel="0" collapsed="false">
      <c r="A471" s="36" t="s">
        <v>1199</v>
      </c>
      <c r="B471" s="26" t="s">
        <v>1200</v>
      </c>
      <c r="C471" s="14" t="s">
        <v>1156</v>
      </c>
      <c r="D471" s="15" t="n">
        <v>12</v>
      </c>
      <c r="E471" s="27" t="n">
        <f aca="false">F471/2</f>
        <v>3600</v>
      </c>
      <c r="F471" s="16" t="n">
        <f aca="false">6000*1.2</f>
        <v>7200</v>
      </c>
      <c r="G471" s="15" t="s">
        <v>36</v>
      </c>
      <c r="H471" s="17" t="s">
        <v>25</v>
      </c>
      <c r="I471" s="18" t="s">
        <v>26</v>
      </c>
      <c r="J471" s="15" t="n">
        <v>2022</v>
      </c>
      <c r="K471" s="19" t="s">
        <v>27</v>
      </c>
      <c r="L471" s="15" t="s">
        <v>28</v>
      </c>
      <c r="M471" s="15" t="s">
        <v>33</v>
      </c>
      <c r="N471" s="17"/>
      <c r="O471" s="15"/>
      <c r="P471" s="15"/>
      <c r="Q471" s="21"/>
      <c r="R471" s="21"/>
      <c r="S471" s="21"/>
      <c r="T471" s="28"/>
      <c r="U471" s="34"/>
    </row>
    <row r="472" s="25" customFormat="true" ht="41.4" hidden="false" customHeight="false" outlineLevel="0" collapsed="false">
      <c r="A472" s="36" t="s">
        <v>1201</v>
      </c>
      <c r="B472" s="26" t="s">
        <v>1202</v>
      </c>
      <c r="C472" s="14" t="s">
        <v>327</v>
      </c>
      <c r="D472" s="15" t="n">
        <v>6</v>
      </c>
      <c r="E472" s="27" t="n">
        <f aca="false">F472/2</f>
        <v>50</v>
      </c>
      <c r="F472" s="16" t="n">
        <v>100</v>
      </c>
      <c r="G472" s="15" t="s">
        <v>36</v>
      </c>
      <c r="H472" s="17" t="s">
        <v>25</v>
      </c>
      <c r="I472" s="18" t="s">
        <v>26</v>
      </c>
      <c r="J472" s="15" t="n">
        <v>2017</v>
      </c>
      <c r="K472" s="19" t="s">
        <v>27</v>
      </c>
      <c r="L472" s="15" t="s">
        <v>28</v>
      </c>
      <c r="M472" s="15" t="s">
        <v>33</v>
      </c>
      <c r="N472" s="17" t="s">
        <v>83</v>
      </c>
      <c r="O472" s="15"/>
      <c r="P472" s="15"/>
      <c r="Q472" s="21" t="s">
        <v>302</v>
      </c>
      <c r="R472" s="21"/>
      <c r="S472" s="21"/>
      <c r="T472" s="31" t="n">
        <v>45925</v>
      </c>
      <c r="U472" s="24"/>
    </row>
    <row r="473" s="25" customFormat="true" ht="41.4" hidden="false" customHeight="false" outlineLevel="0" collapsed="false">
      <c r="A473" s="36" t="s">
        <v>1203</v>
      </c>
      <c r="B473" s="26"/>
      <c r="C473" s="14" t="s">
        <v>243</v>
      </c>
      <c r="D473" s="67" t="n">
        <v>12</v>
      </c>
      <c r="E473" s="27" t="n">
        <f aca="false">F473/2</f>
        <v>52500</v>
      </c>
      <c r="F473" s="68" t="n">
        <f aca="false">87500*1.2</f>
        <v>105000</v>
      </c>
      <c r="G473" s="15" t="s">
        <v>36</v>
      </c>
      <c r="H473" s="17" t="s">
        <v>25</v>
      </c>
      <c r="I473" s="18" t="s">
        <v>26</v>
      </c>
      <c r="J473" s="15" t="n">
        <v>2018</v>
      </c>
      <c r="K473" s="19" t="s">
        <v>27</v>
      </c>
      <c r="L473" s="15" t="s">
        <v>28</v>
      </c>
      <c r="M473" s="15" t="s">
        <v>33</v>
      </c>
      <c r="N473" s="17" t="s">
        <v>257</v>
      </c>
      <c r="O473" s="15"/>
      <c r="P473" s="15"/>
      <c r="Q473" s="21" t="s">
        <v>78</v>
      </c>
      <c r="R473" s="21"/>
      <c r="S473" s="21"/>
      <c r="T473" s="28"/>
      <c r="U473" s="24"/>
    </row>
    <row r="474" s="25" customFormat="true" ht="41.4" hidden="false" customHeight="false" outlineLevel="0" collapsed="false">
      <c r="A474" s="63" t="s">
        <v>1204</v>
      </c>
      <c r="B474" s="26"/>
      <c r="C474" s="14" t="s">
        <v>264</v>
      </c>
      <c r="D474" s="30" t="n">
        <v>12</v>
      </c>
      <c r="E474" s="16" t="n">
        <f aca="false">F474/2</f>
        <v>74727</v>
      </c>
      <c r="F474" s="16" t="n">
        <f aca="false">157320*0.95</f>
        <v>149454</v>
      </c>
      <c r="G474" s="15" t="s">
        <v>36</v>
      </c>
      <c r="H474" s="17" t="s">
        <v>25</v>
      </c>
      <c r="I474" s="18" t="s">
        <v>26</v>
      </c>
      <c r="J474" s="15" t="n">
        <v>2024</v>
      </c>
      <c r="K474" s="19" t="s">
        <v>27</v>
      </c>
      <c r="L474" s="15" t="s">
        <v>28</v>
      </c>
      <c r="M474" s="15" t="s">
        <v>33</v>
      </c>
      <c r="N474" s="30" t="s">
        <v>257</v>
      </c>
      <c r="O474" s="60"/>
      <c r="P474" s="60"/>
      <c r="Q474" s="21"/>
      <c r="R474" s="21"/>
      <c r="S474" s="40"/>
      <c r="T474" s="31" t="n">
        <v>45880</v>
      </c>
      <c r="U474" s="41"/>
    </row>
    <row r="475" s="25" customFormat="true" ht="41.4" hidden="false" customHeight="false" outlineLevel="0" collapsed="false">
      <c r="A475" s="36" t="s">
        <v>1205</v>
      </c>
      <c r="B475" s="26" t="s">
        <v>1206</v>
      </c>
      <c r="C475" s="14" t="s">
        <v>1207</v>
      </c>
      <c r="D475" s="15" t="n">
        <f aca="false">118*2</f>
        <v>236</v>
      </c>
      <c r="E475" s="16" t="n">
        <f aca="false">F475/2</f>
        <v>1300</v>
      </c>
      <c r="F475" s="16" t="n">
        <v>2600</v>
      </c>
      <c r="G475" s="15" t="s">
        <v>24</v>
      </c>
      <c r="H475" s="17" t="s">
        <v>25</v>
      </c>
      <c r="I475" s="18" t="s">
        <v>26</v>
      </c>
      <c r="J475" s="15" t="n">
        <v>2011</v>
      </c>
      <c r="K475" s="19" t="s">
        <v>27</v>
      </c>
      <c r="L475" s="15" t="s">
        <v>103</v>
      </c>
      <c r="M475" s="15" t="s">
        <v>33</v>
      </c>
      <c r="N475" s="17" t="s">
        <v>343</v>
      </c>
      <c r="O475" s="15"/>
      <c r="P475" s="15"/>
      <c r="Q475" s="21" t="s">
        <v>78</v>
      </c>
      <c r="R475" s="21"/>
      <c r="S475" s="21"/>
      <c r="T475" s="31" t="n">
        <v>45911</v>
      </c>
      <c r="U475" s="24" t="s">
        <v>1208</v>
      </c>
    </row>
    <row r="476" s="25" customFormat="true" ht="68.4" hidden="false" customHeight="false" outlineLevel="0" collapsed="false">
      <c r="A476" s="36" t="s">
        <v>1209</v>
      </c>
      <c r="B476" s="26" t="s">
        <v>1210</v>
      </c>
      <c r="C476" s="14" t="s">
        <v>86</v>
      </c>
      <c r="D476" s="15" t="n">
        <v>4</v>
      </c>
      <c r="E476" s="27" t="n">
        <f aca="false">F476/2</f>
        <v>4118</v>
      </c>
      <c r="F476" s="32" t="n">
        <v>8236</v>
      </c>
      <c r="G476" s="15" t="s">
        <v>24</v>
      </c>
      <c r="H476" s="17" t="s">
        <v>25</v>
      </c>
      <c r="I476" s="18" t="s">
        <v>26</v>
      </c>
      <c r="J476" s="15" t="n">
        <v>2006</v>
      </c>
      <c r="K476" s="19" t="s">
        <v>59</v>
      </c>
      <c r="L476" s="15" t="s">
        <v>28</v>
      </c>
      <c r="M476" s="15" t="s">
        <v>33</v>
      </c>
      <c r="N476" s="17"/>
      <c r="O476" s="15" t="s">
        <v>46</v>
      </c>
      <c r="P476" s="15"/>
      <c r="Q476" s="21" t="s">
        <v>47</v>
      </c>
      <c r="R476" s="21"/>
      <c r="S476" s="21"/>
      <c r="T476" s="31" t="n">
        <v>45882</v>
      </c>
      <c r="U476" s="24" t="s">
        <v>1211</v>
      </c>
    </row>
    <row r="477" s="25" customFormat="true" ht="41.4" hidden="false" customHeight="false" outlineLevel="0" collapsed="false">
      <c r="A477" s="36" t="s">
        <v>1212</v>
      </c>
      <c r="B477" s="26" t="s">
        <v>1213</v>
      </c>
      <c r="C477" s="14" t="s">
        <v>179</v>
      </c>
      <c r="D477" s="15" t="n">
        <v>6</v>
      </c>
      <c r="E477" s="27" t="n">
        <f aca="false">F477/2</f>
        <v>7200</v>
      </c>
      <c r="F477" s="16" t="n">
        <f aca="false">12000*1.2</f>
        <v>14400</v>
      </c>
      <c r="G477" s="15" t="s">
        <v>36</v>
      </c>
      <c r="H477" s="17" t="s">
        <v>25</v>
      </c>
      <c r="I477" s="18" t="s">
        <v>26</v>
      </c>
      <c r="J477" s="15" t="n">
        <v>2018</v>
      </c>
      <c r="K477" s="19" t="s">
        <v>27</v>
      </c>
      <c r="L477" s="15" t="s">
        <v>28</v>
      </c>
      <c r="M477" s="15" t="s">
        <v>33</v>
      </c>
      <c r="N477" s="17"/>
      <c r="O477" s="15"/>
      <c r="P477" s="15"/>
      <c r="Q477" s="21" t="s">
        <v>78</v>
      </c>
      <c r="R477" s="21"/>
      <c r="S477" s="21"/>
      <c r="T477" s="28"/>
      <c r="U477" s="34"/>
    </row>
    <row r="478" s="25" customFormat="true" ht="41.4" hidden="false" customHeight="false" outlineLevel="0" collapsed="false">
      <c r="A478" s="36" t="s">
        <v>1214</v>
      </c>
      <c r="B478" s="26"/>
      <c r="C478" s="14" t="s">
        <v>1215</v>
      </c>
      <c r="D478" s="15" t="n">
        <v>4</v>
      </c>
      <c r="E478" s="27" t="n">
        <f aca="false">F478/2</f>
        <v>50</v>
      </c>
      <c r="F478" s="16" t="n">
        <v>100</v>
      </c>
      <c r="G478" s="15" t="s">
        <v>36</v>
      </c>
      <c r="H478" s="17" t="s">
        <v>25</v>
      </c>
      <c r="I478" s="18" t="s">
        <v>26</v>
      </c>
      <c r="J478" s="15" t="n">
        <v>2014</v>
      </c>
      <c r="K478" s="19" t="s">
        <v>1216</v>
      </c>
      <c r="L478" s="15" t="s">
        <v>28</v>
      </c>
      <c r="M478" s="15" t="s">
        <v>33</v>
      </c>
      <c r="N478" s="17" t="s">
        <v>865</v>
      </c>
      <c r="O478" s="15" t="s">
        <v>203</v>
      </c>
      <c r="P478" s="15"/>
      <c r="Q478" s="21"/>
      <c r="R478" s="21"/>
      <c r="S478" s="21"/>
      <c r="T478" s="28"/>
      <c r="U478" s="34"/>
    </row>
    <row r="479" s="25" customFormat="true" ht="41.4" hidden="false" customHeight="false" outlineLevel="0" collapsed="false">
      <c r="A479" s="36" t="s">
        <v>1217</v>
      </c>
      <c r="B479" s="26" t="s">
        <v>1218</v>
      </c>
      <c r="C479" s="14" t="s">
        <v>643</v>
      </c>
      <c r="D479" s="15" t="n">
        <v>6</v>
      </c>
      <c r="E479" s="27" t="n">
        <f aca="false">F479/2</f>
        <v>478</v>
      </c>
      <c r="F479" s="16" t="n">
        <v>956</v>
      </c>
      <c r="G479" s="15" t="s">
        <v>36</v>
      </c>
      <c r="H479" s="17" t="s">
        <v>25</v>
      </c>
      <c r="I479" s="18" t="s">
        <v>26</v>
      </c>
      <c r="J479" s="15" t="n">
        <v>2019</v>
      </c>
      <c r="K479" s="19" t="s">
        <v>27</v>
      </c>
      <c r="L479" s="15" t="s">
        <v>28</v>
      </c>
      <c r="M479" s="15" t="s">
        <v>33</v>
      </c>
      <c r="N479" s="17"/>
      <c r="O479" s="15" t="s">
        <v>46</v>
      </c>
      <c r="P479" s="15"/>
      <c r="Q479" s="21" t="s">
        <v>577</v>
      </c>
      <c r="R479" s="21"/>
      <c r="S479" s="21"/>
      <c r="T479" s="28"/>
      <c r="U479" s="24" t="s">
        <v>1219</v>
      </c>
    </row>
    <row r="480" s="25" customFormat="true" ht="45.6" hidden="false" customHeight="false" outlineLevel="0" collapsed="false">
      <c r="A480" s="36" t="s">
        <v>1220</v>
      </c>
      <c r="B480" s="26" t="s">
        <v>1221</v>
      </c>
      <c r="C480" s="14" t="s">
        <v>515</v>
      </c>
      <c r="D480" s="15" t="n">
        <v>4</v>
      </c>
      <c r="E480" s="27" t="n">
        <f aca="false">F480/2</f>
        <v>10000</v>
      </c>
      <c r="F480" s="16" t="n">
        <v>20000</v>
      </c>
      <c r="G480" s="15" t="s">
        <v>24</v>
      </c>
      <c r="H480" s="17" t="s">
        <v>25</v>
      </c>
      <c r="I480" s="18" t="s">
        <v>26</v>
      </c>
      <c r="J480" s="15" t="n">
        <v>2012</v>
      </c>
      <c r="K480" s="19" t="s">
        <v>27</v>
      </c>
      <c r="L480" s="15" t="s">
        <v>28</v>
      </c>
      <c r="M480" s="15" t="s">
        <v>29</v>
      </c>
      <c r="N480" s="17" t="s">
        <v>415</v>
      </c>
      <c r="O480" s="15" t="s">
        <v>54</v>
      </c>
      <c r="P480" s="15"/>
      <c r="Q480" s="21" t="s">
        <v>419</v>
      </c>
      <c r="R480" s="21"/>
      <c r="S480" s="21"/>
      <c r="T480" s="31" t="n">
        <v>45846</v>
      </c>
      <c r="U480" s="24" t="s">
        <v>1222</v>
      </c>
    </row>
    <row r="481" s="25" customFormat="true" ht="41.4" hidden="false" customHeight="false" outlineLevel="0" collapsed="false">
      <c r="A481" s="36" t="s">
        <v>1223</v>
      </c>
      <c r="B481" s="26" t="s">
        <v>1224</v>
      </c>
      <c r="C481" s="14" t="s">
        <v>1225</v>
      </c>
      <c r="D481" s="15" t="n">
        <v>6</v>
      </c>
      <c r="E481" s="27" t="n">
        <f aca="false">F481/2</f>
        <v>1044</v>
      </c>
      <c r="F481" s="16" t="n">
        <v>2088</v>
      </c>
      <c r="G481" s="15" t="s">
        <v>36</v>
      </c>
      <c r="H481" s="17" t="s">
        <v>25</v>
      </c>
      <c r="I481" s="18" t="s">
        <v>26</v>
      </c>
      <c r="J481" s="15" t="n">
        <v>2021</v>
      </c>
      <c r="K481" s="19" t="s">
        <v>1226</v>
      </c>
      <c r="L481" s="15" t="s">
        <v>28</v>
      </c>
      <c r="M481" s="15" t="s">
        <v>33</v>
      </c>
      <c r="N481" s="20" t="s">
        <v>1227</v>
      </c>
      <c r="O481" s="15"/>
      <c r="P481" s="15"/>
      <c r="Q481" s="21"/>
      <c r="R481" s="21"/>
      <c r="S481" s="21"/>
      <c r="T481" s="28"/>
      <c r="U481" s="24"/>
    </row>
    <row r="482" s="25" customFormat="true" ht="41.4" hidden="false" customHeight="false" outlineLevel="0" collapsed="false">
      <c r="A482" s="36" t="s">
        <v>1228</v>
      </c>
      <c r="B482" s="26" t="s">
        <v>1229</v>
      </c>
      <c r="C482" s="14" t="s">
        <v>1230</v>
      </c>
      <c r="D482" s="15" t="n">
        <v>6</v>
      </c>
      <c r="E482" s="27" t="n">
        <f aca="false">F482/2</f>
        <v>7500</v>
      </c>
      <c r="F482" s="16" t="n">
        <v>15000</v>
      </c>
      <c r="G482" s="15" t="s">
        <v>24</v>
      </c>
      <c r="H482" s="17" t="s">
        <v>25</v>
      </c>
      <c r="I482" s="18" t="s">
        <v>26</v>
      </c>
      <c r="J482" s="15" t="n">
        <v>2017</v>
      </c>
      <c r="K482" s="19" t="s">
        <v>27</v>
      </c>
      <c r="L482" s="15" t="s">
        <v>28</v>
      </c>
      <c r="M482" s="15" t="s">
        <v>33</v>
      </c>
      <c r="N482" s="17" t="s">
        <v>240</v>
      </c>
      <c r="O482" s="15"/>
      <c r="P482" s="15"/>
      <c r="Q482" s="21"/>
      <c r="R482" s="21"/>
      <c r="S482" s="21"/>
      <c r="T482" s="28"/>
      <c r="U482" s="24"/>
    </row>
    <row r="483" s="25" customFormat="true" ht="41.4" hidden="false" customHeight="false" outlineLevel="0" collapsed="false">
      <c r="A483" s="36" t="s">
        <v>1231</v>
      </c>
      <c r="B483" s="26"/>
      <c r="C483" s="14" t="s">
        <v>202</v>
      </c>
      <c r="D483" s="15" t="n">
        <v>4</v>
      </c>
      <c r="E483" s="27" t="n">
        <f aca="false">F483/2</f>
        <v>50</v>
      </c>
      <c r="F483" s="16" t="n">
        <v>100</v>
      </c>
      <c r="G483" s="15" t="s">
        <v>36</v>
      </c>
      <c r="H483" s="17" t="s">
        <v>25</v>
      </c>
      <c r="I483" s="18" t="s">
        <v>26</v>
      </c>
      <c r="J483" s="17" t="n">
        <v>2021</v>
      </c>
      <c r="K483" s="19" t="s">
        <v>27</v>
      </c>
      <c r="L483" s="15" t="s">
        <v>28</v>
      </c>
      <c r="M483" s="15" t="s">
        <v>33</v>
      </c>
      <c r="N483" s="20"/>
      <c r="O483" s="15"/>
      <c r="P483" s="15"/>
      <c r="Q483" s="21"/>
      <c r="R483" s="21"/>
      <c r="S483" s="21"/>
      <c r="T483" s="28"/>
      <c r="U483" s="34"/>
    </row>
    <row r="484" s="25" customFormat="true" ht="41.4" hidden="false" customHeight="false" outlineLevel="0" collapsed="false">
      <c r="A484" s="36" t="s">
        <v>1232</v>
      </c>
      <c r="B484" s="26"/>
      <c r="C484" s="14" t="s">
        <v>643</v>
      </c>
      <c r="D484" s="15" t="n">
        <v>4</v>
      </c>
      <c r="E484" s="27" t="n">
        <f aca="false">F484/2</f>
        <v>478</v>
      </c>
      <c r="F484" s="16" t="n">
        <v>956</v>
      </c>
      <c r="G484" s="15" t="s">
        <v>36</v>
      </c>
      <c r="H484" s="17" t="s">
        <v>25</v>
      </c>
      <c r="I484" s="18" t="s">
        <v>26</v>
      </c>
      <c r="J484" s="15" t="n">
        <v>2023</v>
      </c>
      <c r="K484" s="19" t="s">
        <v>27</v>
      </c>
      <c r="L484" s="15" t="s">
        <v>28</v>
      </c>
      <c r="M484" s="15" t="s">
        <v>33</v>
      </c>
      <c r="N484" s="17" t="s">
        <v>637</v>
      </c>
      <c r="O484" s="15" t="s">
        <v>46</v>
      </c>
      <c r="P484" s="15"/>
      <c r="Q484" s="21"/>
      <c r="R484" s="21"/>
      <c r="S484" s="21"/>
      <c r="T484" s="28"/>
      <c r="U484" s="24"/>
    </row>
    <row r="485" s="25" customFormat="true" ht="41.4" hidden="false" customHeight="false" outlineLevel="0" collapsed="false">
      <c r="A485" s="36" t="s">
        <v>1233</v>
      </c>
      <c r="B485" s="26"/>
      <c r="C485" s="14" t="s">
        <v>1234</v>
      </c>
      <c r="D485" s="15" t="n">
        <v>4</v>
      </c>
      <c r="E485" s="16" t="n">
        <f aca="false">F485/2</f>
        <v>1310</v>
      </c>
      <c r="F485" s="16" t="n">
        <f aca="false">CEILING(2448*1.07,1)</f>
        <v>2620</v>
      </c>
      <c r="G485" s="15" t="s">
        <v>36</v>
      </c>
      <c r="H485" s="17" t="s">
        <v>25</v>
      </c>
      <c r="I485" s="18" t="s">
        <v>26</v>
      </c>
      <c r="J485" s="15" t="n">
        <v>2024</v>
      </c>
      <c r="K485" s="19" t="s">
        <v>27</v>
      </c>
      <c r="L485" s="15" t="s">
        <v>28</v>
      </c>
      <c r="M485" s="15" t="s">
        <v>33</v>
      </c>
      <c r="N485" s="17"/>
      <c r="O485" s="15"/>
      <c r="P485" s="15"/>
      <c r="Q485" s="21"/>
      <c r="R485" s="21"/>
      <c r="S485" s="21"/>
      <c r="T485" s="28"/>
      <c r="U485" s="24"/>
    </row>
    <row r="486" s="25" customFormat="true" ht="41.4" hidden="false" customHeight="false" outlineLevel="0" collapsed="false">
      <c r="A486" s="59" t="s">
        <v>1235</v>
      </c>
      <c r="B486" s="26" t="s">
        <v>1236</v>
      </c>
      <c r="C486" s="14" t="s">
        <v>283</v>
      </c>
      <c r="D486" s="15" t="n">
        <v>4</v>
      </c>
      <c r="E486" s="27" t="n">
        <f aca="false">F486/2</f>
        <v>4680</v>
      </c>
      <c r="F486" s="16" t="n">
        <f aca="false">7800*1.2</f>
        <v>9360</v>
      </c>
      <c r="G486" s="15" t="s">
        <v>36</v>
      </c>
      <c r="H486" s="17" t="s">
        <v>25</v>
      </c>
      <c r="I486" s="18" t="s">
        <v>26</v>
      </c>
      <c r="J486" s="15" t="n">
        <v>2023</v>
      </c>
      <c r="K486" s="19" t="s">
        <v>27</v>
      </c>
      <c r="L486" s="15" t="s">
        <v>28</v>
      </c>
      <c r="M486" s="15" t="s">
        <v>33</v>
      </c>
      <c r="N486" s="17" t="s">
        <v>123</v>
      </c>
      <c r="O486" s="15"/>
      <c r="P486" s="15"/>
      <c r="Q486" s="21"/>
      <c r="R486" s="21"/>
      <c r="S486" s="21"/>
      <c r="T486" s="28"/>
      <c r="U486" s="24" t="s">
        <v>284</v>
      </c>
    </row>
    <row r="487" s="25" customFormat="true" ht="41.4" hidden="false" customHeight="false" outlineLevel="0" collapsed="false">
      <c r="A487" s="36" t="s">
        <v>1237</v>
      </c>
      <c r="B487" s="26" t="s">
        <v>1238</v>
      </c>
      <c r="C487" s="14" t="s">
        <v>1239</v>
      </c>
      <c r="D487" s="15" t="n">
        <v>2</v>
      </c>
      <c r="E487" s="27" t="n">
        <f aca="false">F487/2</f>
        <v>988</v>
      </c>
      <c r="F487" s="16" t="n">
        <v>1976</v>
      </c>
      <c r="G487" s="15" t="s">
        <v>36</v>
      </c>
      <c r="H487" s="17" t="s">
        <v>25</v>
      </c>
      <c r="I487" s="18" t="s">
        <v>26</v>
      </c>
      <c r="J487" s="15" t="n">
        <v>2022</v>
      </c>
      <c r="K487" s="19" t="s">
        <v>27</v>
      </c>
      <c r="L487" s="15" t="s">
        <v>28</v>
      </c>
      <c r="M487" s="15" t="s">
        <v>33</v>
      </c>
      <c r="N487" s="20" t="s">
        <v>83</v>
      </c>
      <c r="O487" s="15"/>
      <c r="P487" s="15"/>
      <c r="Q487" s="21"/>
      <c r="R487" s="21"/>
      <c r="S487" s="21"/>
      <c r="T487" s="28"/>
      <c r="U487" s="34"/>
    </row>
    <row r="488" s="25" customFormat="true" ht="68.4" hidden="false" customHeight="false" outlineLevel="0" collapsed="false">
      <c r="A488" s="36" t="s">
        <v>1240</v>
      </c>
      <c r="B488" s="26" t="s">
        <v>1241</v>
      </c>
      <c r="C488" s="14"/>
      <c r="D488" s="15" t="n">
        <v>4</v>
      </c>
      <c r="E488" s="27" t="n">
        <f aca="false">F488/2</f>
        <v>400</v>
      </c>
      <c r="F488" s="16" t="n">
        <v>800</v>
      </c>
      <c r="G488" s="15" t="s">
        <v>354</v>
      </c>
      <c r="H488" s="17" t="s">
        <v>25</v>
      </c>
      <c r="I488" s="18" t="s">
        <v>26</v>
      </c>
      <c r="J488" s="15" t="n">
        <v>2012</v>
      </c>
      <c r="K488" s="19" t="s">
        <v>27</v>
      </c>
      <c r="L488" s="15" t="s">
        <v>28</v>
      </c>
      <c r="M488" s="15" t="s">
        <v>33</v>
      </c>
      <c r="N488" s="17" t="s">
        <v>415</v>
      </c>
      <c r="O488" s="15"/>
      <c r="P488" s="15"/>
      <c r="Q488" s="21" t="s">
        <v>419</v>
      </c>
      <c r="R488" s="21"/>
      <c r="S488" s="21"/>
      <c r="T488" s="28"/>
      <c r="U488" s="24" t="s">
        <v>1242</v>
      </c>
    </row>
    <row r="489" s="25" customFormat="true" ht="41.4" hidden="false" customHeight="false" outlineLevel="0" collapsed="false">
      <c r="A489" s="59" t="s">
        <v>1243</v>
      </c>
      <c r="B489" s="30"/>
      <c r="C489" s="14" t="s">
        <v>1244</v>
      </c>
      <c r="D489" s="15" t="n">
        <v>12</v>
      </c>
      <c r="E489" s="16" t="n">
        <f aca="false">F489/2</f>
        <v>250</v>
      </c>
      <c r="F489" s="16" t="n">
        <v>500</v>
      </c>
      <c r="G489" s="15" t="s">
        <v>36</v>
      </c>
      <c r="H489" s="17" t="s">
        <v>25</v>
      </c>
      <c r="I489" s="18" t="s">
        <v>26</v>
      </c>
      <c r="J489" s="15" t="n">
        <v>2025</v>
      </c>
      <c r="K489" s="19" t="s">
        <v>27</v>
      </c>
      <c r="L489" s="15" t="s">
        <v>103</v>
      </c>
      <c r="M489" s="15" t="s">
        <v>33</v>
      </c>
      <c r="N489" s="20" t="s">
        <v>1227</v>
      </c>
      <c r="O489" s="15"/>
      <c r="P489" s="15"/>
      <c r="Q489" s="21"/>
      <c r="R489" s="21"/>
      <c r="S489" s="40"/>
      <c r="T489" s="69"/>
      <c r="U489" s="24"/>
    </row>
    <row r="490" s="25" customFormat="true" ht="41.4" hidden="false" customHeight="false" outlineLevel="0" collapsed="false">
      <c r="A490" s="36" t="s">
        <v>1245</v>
      </c>
      <c r="B490" s="26" t="s">
        <v>1246</v>
      </c>
      <c r="C490" s="14" t="s">
        <v>1247</v>
      </c>
      <c r="D490" s="15" t="n">
        <v>6</v>
      </c>
      <c r="E490" s="27" t="n">
        <f aca="false">F490/2</f>
        <v>7800</v>
      </c>
      <c r="F490" s="16" t="n">
        <v>15600</v>
      </c>
      <c r="G490" s="15" t="s">
        <v>24</v>
      </c>
      <c r="H490" s="17" t="s">
        <v>25</v>
      </c>
      <c r="I490" s="18" t="s">
        <v>26</v>
      </c>
      <c r="J490" s="15" t="n">
        <v>2014</v>
      </c>
      <c r="K490" s="19" t="s">
        <v>27</v>
      </c>
      <c r="L490" s="15" t="s">
        <v>28</v>
      </c>
      <c r="M490" s="15" t="s">
        <v>33</v>
      </c>
      <c r="N490" s="17" t="s">
        <v>83</v>
      </c>
      <c r="O490" s="15"/>
      <c r="P490" s="15"/>
      <c r="Q490" s="21"/>
      <c r="R490" s="21"/>
      <c r="S490" s="21"/>
      <c r="T490" s="28"/>
      <c r="U490" s="34"/>
    </row>
    <row r="491" s="25" customFormat="true" ht="41.4" hidden="false" customHeight="false" outlineLevel="0" collapsed="false">
      <c r="A491" s="36" t="s">
        <v>1248</v>
      </c>
      <c r="B491" s="26" t="s">
        <v>1249</v>
      </c>
      <c r="C491" s="14" t="s">
        <v>327</v>
      </c>
      <c r="D491" s="15" t="n">
        <v>4</v>
      </c>
      <c r="E491" s="27" t="n">
        <f aca="false">F491/2</f>
        <v>50</v>
      </c>
      <c r="F491" s="16" t="n">
        <v>100</v>
      </c>
      <c r="G491" s="15" t="s">
        <v>36</v>
      </c>
      <c r="H491" s="17" t="s">
        <v>25</v>
      </c>
      <c r="I491" s="18" t="s">
        <v>26</v>
      </c>
      <c r="J491" s="15" t="n">
        <v>2017</v>
      </c>
      <c r="K491" s="19" t="s">
        <v>27</v>
      </c>
      <c r="L491" s="15" t="s">
        <v>28</v>
      </c>
      <c r="M491" s="15" t="s">
        <v>33</v>
      </c>
      <c r="N491" s="17" t="s">
        <v>83</v>
      </c>
      <c r="O491" s="15"/>
      <c r="P491" s="15"/>
      <c r="Q491" s="21" t="s">
        <v>302</v>
      </c>
      <c r="R491" s="21"/>
      <c r="S491" s="21"/>
      <c r="T491" s="31" t="n">
        <v>45925</v>
      </c>
      <c r="U491" s="24"/>
    </row>
    <row r="492" s="25" customFormat="true" ht="41.4" hidden="false" customHeight="false" outlineLevel="0" collapsed="false">
      <c r="A492" s="36" t="s">
        <v>1250</v>
      </c>
      <c r="B492" s="26" t="s">
        <v>1251</v>
      </c>
      <c r="C492" s="14" t="s">
        <v>1252</v>
      </c>
      <c r="D492" s="15" t="n">
        <v>4</v>
      </c>
      <c r="E492" s="27" t="n">
        <f aca="false">F492/2</f>
        <v>50</v>
      </c>
      <c r="F492" s="16" t="n">
        <v>100</v>
      </c>
      <c r="G492" s="15" t="s">
        <v>36</v>
      </c>
      <c r="H492" s="17" t="s">
        <v>25</v>
      </c>
      <c r="I492" s="18" t="s">
        <v>26</v>
      </c>
      <c r="J492" s="15" t="n">
        <v>2014</v>
      </c>
      <c r="K492" s="19" t="s">
        <v>27</v>
      </c>
      <c r="L492" s="15" t="s">
        <v>28</v>
      </c>
      <c r="M492" s="15" t="s">
        <v>33</v>
      </c>
      <c r="N492" s="17" t="s">
        <v>83</v>
      </c>
      <c r="O492" s="15"/>
      <c r="P492" s="15"/>
      <c r="Q492" s="21" t="s">
        <v>302</v>
      </c>
      <c r="R492" s="21"/>
      <c r="S492" s="21"/>
      <c r="T492" s="28"/>
      <c r="U492" s="24"/>
    </row>
    <row r="493" s="25" customFormat="true" ht="41.4" hidden="false" customHeight="false" outlineLevel="0" collapsed="false">
      <c r="A493" s="36" t="s">
        <v>1253</v>
      </c>
      <c r="B493" s="26"/>
      <c r="C493" s="14" t="s">
        <v>448</v>
      </c>
      <c r="D493" s="15" t="n">
        <v>4</v>
      </c>
      <c r="E493" s="16" t="n">
        <f aca="false">F493/2</f>
        <v>1560</v>
      </c>
      <c r="F493" s="16" t="n">
        <f aca="false">2600*1.2</f>
        <v>3120</v>
      </c>
      <c r="G493" s="15" t="s">
        <v>36</v>
      </c>
      <c r="H493" s="17" t="s">
        <v>25</v>
      </c>
      <c r="I493" s="18" t="s">
        <v>26</v>
      </c>
      <c r="J493" s="15" t="n">
        <v>2025</v>
      </c>
      <c r="K493" s="19" t="s">
        <v>27</v>
      </c>
      <c r="L493" s="15" t="s">
        <v>28</v>
      </c>
      <c r="M493" s="15" t="s">
        <v>33</v>
      </c>
      <c r="N493" s="17" t="s">
        <v>45</v>
      </c>
      <c r="O493" s="15"/>
      <c r="P493" s="15"/>
      <c r="Q493" s="21"/>
      <c r="R493" s="21"/>
      <c r="S493" s="21"/>
      <c r="T493" s="28"/>
      <c r="U493" s="24"/>
    </row>
    <row r="494" s="25" customFormat="true" ht="41.4" hidden="false" customHeight="false" outlineLevel="0" collapsed="false">
      <c r="A494" s="36" t="s">
        <v>1254</v>
      </c>
      <c r="B494" s="26"/>
      <c r="C494" s="14" t="s">
        <v>448</v>
      </c>
      <c r="D494" s="15" t="n">
        <v>6</v>
      </c>
      <c r="E494" s="16" t="n">
        <f aca="false">F494/2</f>
        <v>2340</v>
      </c>
      <c r="F494" s="16" t="n">
        <f aca="false">3900*1.2</f>
        <v>4680</v>
      </c>
      <c r="G494" s="15" t="s">
        <v>36</v>
      </c>
      <c r="H494" s="17" t="s">
        <v>25</v>
      </c>
      <c r="I494" s="18" t="s">
        <v>26</v>
      </c>
      <c r="J494" s="15" t="n">
        <v>2025</v>
      </c>
      <c r="K494" s="19" t="s">
        <v>27</v>
      </c>
      <c r="L494" s="15" t="s">
        <v>28</v>
      </c>
      <c r="M494" s="15" t="s">
        <v>33</v>
      </c>
      <c r="N494" s="17" t="s">
        <v>45</v>
      </c>
      <c r="O494" s="15"/>
      <c r="P494" s="15"/>
      <c r="Q494" s="21"/>
      <c r="R494" s="21"/>
      <c r="S494" s="21"/>
      <c r="T494" s="28"/>
      <c r="U494" s="24"/>
    </row>
    <row r="495" s="25" customFormat="true" ht="41.4" hidden="false" customHeight="false" outlineLevel="0" collapsed="false">
      <c r="A495" s="36" t="s">
        <v>1255</v>
      </c>
      <c r="B495" s="26" t="s">
        <v>1256</v>
      </c>
      <c r="C495" s="14" t="s">
        <v>1051</v>
      </c>
      <c r="D495" s="15" t="n">
        <v>6</v>
      </c>
      <c r="E495" s="27" t="n">
        <f aca="false">F495/2</f>
        <v>2340</v>
      </c>
      <c r="F495" s="16" t="n">
        <f aca="false">3900*1.2</f>
        <v>4680</v>
      </c>
      <c r="G495" s="15" t="s">
        <v>24</v>
      </c>
      <c r="H495" s="17" t="s">
        <v>25</v>
      </c>
      <c r="I495" s="18" t="s">
        <v>26</v>
      </c>
      <c r="J495" s="15" t="n">
        <v>2017</v>
      </c>
      <c r="K495" s="19" t="s">
        <v>27</v>
      </c>
      <c r="L495" s="15" t="s">
        <v>28</v>
      </c>
      <c r="M495" s="15" t="s">
        <v>33</v>
      </c>
      <c r="N495" s="17" t="s">
        <v>45</v>
      </c>
      <c r="O495" s="15"/>
      <c r="P495" s="15"/>
      <c r="Q495" s="21" t="s">
        <v>862</v>
      </c>
      <c r="R495" s="21"/>
      <c r="S495" s="21"/>
      <c r="T495" s="31" t="n">
        <v>45856</v>
      </c>
      <c r="U495" s="24"/>
    </row>
    <row r="496" s="25" customFormat="true" ht="41.4" hidden="false" customHeight="false" outlineLevel="0" collapsed="false">
      <c r="A496" s="36" t="s">
        <v>1257</v>
      </c>
      <c r="B496" s="26" t="s">
        <v>1258</v>
      </c>
      <c r="C496" s="14" t="s">
        <v>475</v>
      </c>
      <c r="D496" s="15" t="n">
        <v>6</v>
      </c>
      <c r="E496" s="27" t="n">
        <f aca="false">F496/2</f>
        <v>21600</v>
      </c>
      <c r="F496" s="16" t="n">
        <f aca="false">18000*2*1.2</f>
        <v>43200</v>
      </c>
      <c r="G496" s="15" t="s">
        <v>36</v>
      </c>
      <c r="H496" s="17" t="s">
        <v>25</v>
      </c>
      <c r="I496" s="18" t="s">
        <v>26</v>
      </c>
      <c r="J496" s="15" t="n">
        <v>2019</v>
      </c>
      <c r="K496" s="19" t="s">
        <v>27</v>
      </c>
      <c r="L496" s="15" t="s">
        <v>28</v>
      </c>
      <c r="M496" s="15" t="s">
        <v>33</v>
      </c>
      <c r="N496" s="17" t="s">
        <v>45</v>
      </c>
      <c r="O496" s="15" t="s">
        <v>54</v>
      </c>
      <c r="P496" s="15"/>
      <c r="Q496" s="21"/>
      <c r="R496" s="21"/>
      <c r="S496" s="21"/>
      <c r="T496" s="31" t="n">
        <v>45846</v>
      </c>
      <c r="U496" s="24"/>
    </row>
    <row r="497" s="25" customFormat="true" ht="41.4" hidden="false" customHeight="false" outlineLevel="0" collapsed="false">
      <c r="A497" s="36" t="s">
        <v>1259</v>
      </c>
      <c r="B497" s="26" t="s">
        <v>1260</v>
      </c>
      <c r="C497" s="14" t="s">
        <v>246</v>
      </c>
      <c r="D497" s="15" t="n">
        <v>12</v>
      </c>
      <c r="E497" s="27" t="n">
        <f aca="false">F497/2</f>
        <v>22793</v>
      </c>
      <c r="F497" s="38" t="n">
        <v>45586</v>
      </c>
      <c r="G497" s="15" t="s">
        <v>36</v>
      </c>
      <c r="H497" s="17" t="s">
        <v>25</v>
      </c>
      <c r="I497" s="18" t="s">
        <v>26</v>
      </c>
      <c r="J497" s="15" t="n">
        <v>2017</v>
      </c>
      <c r="K497" s="19" t="s">
        <v>27</v>
      </c>
      <c r="L497" s="15" t="s">
        <v>28</v>
      </c>
      <c r="M497" s="15" t="s">
        <v>33</v>
      </c>
      <c r="N497" s="20" t="s">
        <v>126</v>
      </c>
      <c r="O497" s="15"/>
      <c r="P497" s="15"/>
      <c r="Q497" s="21" t="s">
        <v>247</v>
      </c>
      <c r="R497" s="21"/>
      <c r="S497" s="21"/>
      <c r="T497" s="31" t="n">
        <v>45882</v>
      </c>
      <c r="U497" s="24" t="s">
        <v>248</v>
      </c>
    </row>
    <row r="498" s="25" customFormat="true" ht="41.4" hidden="false" customHeight="false" outlineLevel="0" collapsed="false">
      <c r="A498" s="36" t="s">
        <v>1261</v>
      </c>
      <c r="B498" s="26" t="s">
        <v>1262</v>
      </c>
      <c r="C498" s="14" t="s">
        <v>1065</v>
      </c>
      <c r="D498" s="15" t="n">
        <v>12</v>
      </c>
      <c r="E498" s="27" t="n">
        <f aca="false">F498/2</f>
        <v>61740</v>
      </c>
      <c r="F498" s="16" t="n">
        <f aca="false">117600*1.05</f>
        <v>123480</v>
      </c>
      <c r="G498" s="15" t="s">
        <v>36</v>
      </c>
      <c r="H498" s="17" t="s">
        <v>25</v>
      </c>
      <c r="I498" s="18" t="s">
        <v>26</v>
      </c>
      <c r="J498" s="15" t="n">
        <v>2017</v>
      </c>
      <c r="K498" s="19" t="s">
        <v>27</v>
      </c>
      <c r="L498" s="15" t="s">
        <v>28</v>
      </c>
      <c r="M498" s="15" t="s">
        <v>33</v>
      </c>
      <c r="N498" s="17" t="s">
        <v>126</v>
      </c>
      <c r="O498" s="15"/>
      <c r="P498" s="15"/>
      <c r="Q498" s="21" t="s">
        <v>78</v>
      </c>
      <c r="R498" s="21"/>
      <c r="S498" s="21"/>
      <c r="T498" s="31" t="n">
        <v>45856</v>
      </c>
      <c r="U498" s="24"/>
    </row>
    <row r="499" s="25" customFormat="true" ht="41.4" hidden="false" customHeight="false" outlineLevel="0" collapsed="false">
      <c r="A499" s="36" t="s">
        <v>1263</v>
      </c>
      <c r="B499" s="26"/>
      <c r="C499" s="14" t="s">
        <v>307</v>
      </c>
      <c r="D499" s="15" t="n">
        <v>4</v>
      </c>
      <c r="E499" s="27" t="n">
        <f aca="false">F499/2</f>
        <v>50</v>
      </c>
      <c r="F499" s="16" t="n">
        <v>100</v>
      </c>
      <c r="G499" s="15" t="s">
        <v>36</v>
      </c>
      <c r="H499" s="17" t="s">
        <v>25</v>
      </c>
      <c r="I499" s="18" t="s">
        <v>26</v>
      </c>
      <c r="J499" s="15" t="n">
        <v>2021</v>
      </c>
      <c r="K499" s="19" t="s">
        <v>27</v>
      </c>
      <c r="L499" s="15" t="s">
        <v>28</v>
      </c>
      <c r="M499" s="15" t="s">
        <v>33</v>
      </c>
      <c r="N499" s="17" t="s">
        <v>83</v>
      </c>
      <c r="O499" s="15"/>
      <c r="P499" s="15"/>
      <c r="Q499" s="21"/>
      <c r="R499" s="21"/>
      <c r="S499" s="21"/>
      <c r="T499" s="28"/>
      <c r="U499" s="34"/>
    </row>
    <row r="500" s="25" customFormat="true" ht="41.4" hidden="false" customHeight="false" outlineLevel="0" collapsed="false">
      <c r="A500" s="36" t="s">
        <v>1264</v>
      </c>
      <c r="B500" s="26" t="s">
        <v>1265</v>
      </c>
      <c r="C500" s="14" t="s">
        <v>1266</v>
      </c>
      <c r="D500" s="15" t="n">
        <v>12</v>
      </c>
      <c r="E500" s="27" t="n">
        <f aca="false">F500/2</f>
        <v>1200</v>
      </c>
      <c r="F500" s="16" t="n">
        <f aca="false">2000*1.2</f>
        <v>2400</v>
      </c>
      <c r="G500" s="15" t="s">
        <v>36</v>
      </c>
      <c r="H500" s="17" t="s">
        <v>25</v>
      </c>
      <c r="I500" s="18" t="s">
        <v>26</v>
      </c>
      <c r="J500" s="15" t="n">
        <v>2016</v>
      </c>
      <c r="K500" s="19" t="s">
        <v>27</v>
      </c>
      <c r="L500" s="15" t="s">
        <v>28</v>
      </c>
      <c r="M500" s="15" t="s">
        <v>33</v>
      </c>
      <c r="N500" s="17"/>
      <c r="O500" s="15"/>
      <c r="P500" s="15"/>
      <c r="Q500" s="21" t="s">
        <v>47</v>
      </c>
      <c r="R500" s="21"/>
      <c r="S500" s="21"/>
      <c r="T500" s="31" t="n">
        <v>45918</v>
      </c>
      <c r="U500" s="24"/>
    </row>
    <row r="501" s="25" customFormat="true" ht="41.4" hidden="false" customHeight="false" outlineLevel="0" collapsed="false">
      <c r="A501" s="36" t="s">
        <v>1267</v>
      </c>
      <c r="B501" s="26" t="s">
        <v>1268</v>
      </c>
      <c r="C501" s="14" t="s">
        <v>335</v>
      </c>
      <c r="D501" s="15" t="n">
        <v>4</v>
      </c>
      <c r="E501" s="27" t="n">
        <f aca="false">F501/2</f>
        <v>10800</v>
      </c>
      <c r="F501" s="16" t="n">
        <f aca="false">4*5400</f>
        <v>21600</v>
      </c>
      <c r="G501" s="15" t="s">
        <v>36</v>
      </c>
      <c r="H501" s="17" t="s">
        <v>25</v>
      </c>
      <c r="I501" s="18" t="s">
        <v>26</v>
      </c>
      <c r="J501" s="15" t="n">
        <v>2020</v>
      </c>
      <c r="K501" s="19" t="s">
        <v>27</v>
      </c>
      <c r="L501" s="15" t="s">
        <v>28</v>
      </c>
      <c r="M501" s="15" t="s">
        <v>33</v>
      </c>
      <c r="N501" s="20"/>
      <c r="O501" s="15" t="s">
        <v>250</v>
      </c>
      <c r="P501" s="15"/>
      <c r="Q501" s="21"/>
      <c r="R501" s="21"/>
      <c r="S501" s="21"/>
      <c r="T501" s="28"/>
      <c r="U501" s="34"/>
    </row>
    <row r="502" s="25" customFormat="true" ht="41.4" hidden="false" customHeight="false" outlineLevel="0" collapsed="false">
      <c r="A502" s="63" t="s">
        <v>1269</v>
      </c>
      <c r="B502" s="26"/>
      <c r="C502" s="14" t="s">
        <v>264</v>
      </c>
      <c r="D502" s="30" t="n">
        <v>6</v>
      </c>
      <c r="E502" s="27" t="n">
        <f aca="false">F502/2</f>
        <v>24367.5</v>
      </c>
      <c r="F502" s="16" t="n">
        <f aca="false">51300*0.95</f>
        <v>48735</v>
      </c>
      <c r="G502" s="15" t="s">
        <v>36</v>
      </c>
      <c r="H502" s="17" t="s">
        <v>25</v>
      </c>
      <c r="I502" s="18" t="s">
        <v>26</v>
      </c>
      <c r="J502" s="15" t="n">
        <v>2024</v>
      </c>
      <c r="K502" s="19" t="s">
        <v>27</v>
      </c>
      <c r="L502" s="15" t="s">
        <v>28</v>
      </c>
      <c r="M502" s="15" t="s">
        <v>33</v>
      </c>
      <c r="N502" s="30"/>
      <c r="O502" s="60"/>
      <c r="P502" s="60"/>
      <c r="Q502" s="21"/>
      <c r="R502" s="21"/>
      <c r="S502" s="21"/>
      <c r="T502" s="31" t="n">
        <v>45880</v>
      </c>
      <c r="U502" s="24"/>
    </row>
    <row r="503" s="25" customFormat="true" ht="41.4" hidden="false" customHeight="false" outlineLevel="0" collapsed="false">
      <c r="A503" s="39" t="s">
        <v>1270</v>
      </c>
      <c r="B503" s="26"/>
      <c r="C503" s="14" t="s">
        <v>264</v>
      </c>
      <c r="D503" s="30" t="n">
        <v>6</v>
      </c>
      <c r="E503" s="27" t="n">
        <f aca="false">F503/2</f>
        <v>39757.5</v>
      </c>
      <c r="F503" s="16" t="n">
        <f aca="false">85500*0.93</f>
        <v>79515</v>
      </c>
      <c r="G503" s="15" t="s">
        <v>36</v>
      </c>
      <c r="H503" s="17" t="s">
        <v>25</v>
      </c>
      <c r="I503" s="18" t="s">
        <v>26</v>
      </c>
      <c r="J503" s="15" t="n">
        <v>2024</v>
      </c>
      <c r="K503" s="19" t="s">
        <v>27</v>
      </c>
      <c r="L503" s="15" t="s">
        <v>28</v>
      </c>
      <c r="M503" s="15" t="s">
        <v>33</v>
      </c>
      <c r="N503" s="30" t="s">
        <v>164</v>
      </c>
      <c r="O503" s="60"/>
      <c r="P503" s="60"/>
      <c r="Q503" s="21"/>
      <c r="R503" s="21"/>
      <c r="S503" s="21"/>
      <c r="T503" s="31" t="n">
        <v>45880</v>
      </c>
      <c r="U503" s="24"/>
    </row>
    <row r="504" s="25" customFormat="true" ht="45.6" hidden="false" customHeight="false" outlineLevel="0" collapsed="false">
      <c r="A504" s="36" t="s">
        <v>1271</v>
      </c>
      <c r="B504" s="26" t="s">
        <v>1272</v>
      </c>
      <c r="C504" s="14" t="s">
        <v>1273</v>
      </c>
      <c r="D504" s="15" t="n">
        <v>10</v>
      </c>
      <c r="E504" s="27" t="n">
        <v>1750</v>
      </c>
      <c r="F504" s="16" t="n">
        <v>3500</v>
      </c>
      <c r="G504" s="15" t="s">
        <v>24</v>
      </c>
      <c r="H504" s="17" t="s">
        <v>25</v>
      </c>
      <c r="I504" s="18" t="s">
        <v>26</v>
      </c>
      <c r="J504" s="15" t="n">
        <v>2012</v>
      </c>
      <c r="K504" s="19" t="s">
        <v>27</v>
      </c>
      <c r="L504" s="15" t="s">
        <v>28</v>
      </c>
      <c r="M504" s="15" t="s">
        <v>33</v>
      </c>
      <c r="N504" s="17" t="s">
        <v>45</v>
      </c>
      <c r="O504" s="15"/>
      <c r="P504" s="15"/>
      <c r="Q504" s="21" t="s">
        <v>862</v>
      </c>
      <c r="R504" s="21"/>
      <c r="S504" s="21"/>
      <c r="T504" s="28"/>
      <c r="U504" s="24" t="s">
        <v>1274</v>
      </c>
    </row>
    <row r="505" s="25" customFormat="true" ht="41.4" hidden="false" customHeight="false" outlineLevel="0" collapsed="false">
      <c r="A505" s="36" t="s">
        <v>1275</v>
      </c>
      <c r="B505" s="26"/>
      <c r="C505" s="14" t="s">
        <v>1276</v>
      </c>
      <c r="D505" s="15" t="n">
        <v>4</v>
      </c>
      <c r="E505" s="16" t="n">
        <f aca="false">F505/2</f>
        <v>4857</v>
      </c>
      <c r="F505" s="16" t="n">
        <v>9714</v>
      </c>
      <c r="G505" s="15" t="s">
        <v>36</v>
      </c>
      <c r="H505" s="17" t="s">
        <v>25</v>
      </c>
      <c r="I505" s="18" t="s">
        <v>26</v>
      </c>
      <c r="J505" s="15" t="n">
        <v>2024</v>
      </c>
      <c r="K505" s="19" t="s">
        <v>27</v>
      </c>
      <c r="L505" s="15" t="s">
        <v>28</v>
      </c>
      <c r="M505" s="15" t="s">
        <v>33</v>
      </c>
      <c r="N505" s="17"/>
      <c r="O505" s="15"/>
      <c r="P505" s="15"/>
      <c r="Q505" s="21"/>
      <c r="R505" s="21"/>
      <c r="S505" s="21"/>
      <c r="T505" s="28"/>
      <c r="U505" s="34"/>
    </row>
    <row r="506" s="25" customFormat="true" ht="57" hidden="false" customHeight="false" outlineLevel="0" collapsed="false">
      <c r="A506" s="36" t="s">
        <v>1277</v>
      </c>
      <c r="B506" s="26" t="s">
        <v>1278</v>
      </c>
      <c r="C506" s="14"/>
      <c r="D506" s="15" t="n">
        <v>6</v>
      </c>
      <c r="E506" s="27" t="n">
        <v>1046.25</v>
      </c>
      <c r="F506" s="16" t="n">
        <f aca="false">E506*2</f>
        <v>2092.5</v>
      </c>
      <c r="G506" s="15" t="s">
        <v>354</v>
      </c>
      <c r="H506" s="17" t="s">
        <v>25</v>
      </c>
      <c r="I506" s="18" t="s">
        <v>26</v>
      </c>
      <c r="J506" s="15" t="n">
        <v>2006</v>
      </c>
      <c r="K506" s="19" t="s">
        <v>59</v>
      </c>
      <c r="L506" s="15" t="s">
        <v>28</v>
      </c>
      <c r="M506" s="15" t="s">
        <v>33</v>
      </c>
      <c r="N506" s="17" t="s">
        <v>671</v>
      </c>
      <c r="O506" s="15"/>
      <c r="P506" s="15"/>
      <c r="Q506" s="21" t="s">
        <v>253</v>
      </c>
      <c r="R506" s="21"/>
      <c r="S506" s="21"/>
      <c r="T506" s="28"/>
      <c r="U506" s="24" t="s">
        <v>1279</v>
      </c>
    </row>
    <row r="507" s="25" customFormat="true" ht="41.4" hidden="false" customHeight="false" outlineLevel="0" collapsed="false">
      <c r="A507" s="36" t="s">
        <v>1280</v>
      </c>
      <c r="B507" s="26" t="s">
        <v>1281</v>
      </c>
      <c r="C507" s="14" t="s">
        <v>246</v>
      </c>
      <c r="D507" s="15" t="n">
        <v>12</v>
      </c>
      <c r="E507" s="27" t="n">
        <f aca="false">F507/2</f>
        <v>18593</v>
      </c>
      <c r="F507" s="38" t="n">
        <v>37186</v>
      </c>
      <c r="G507" s="15" t="s">
        <v>36</v>
      </c>
      <c r="H507" s="17" t="s">
        <v>25</v>
      </c>
      <c r="I507" s="18" t="s">
        <v>26</v>
      </c>
      <c r="J507" s="15" t="n">
        <v>2019</v>
      </c>
      <c r="K507" s="19" t="s">
        <v>27</v>
      </c>
      <c r="L507" s="15" t="s">
        <v>28</v>
      </c>
      <c r="M507" s="15" t="s">
        <v>33</v>
      </c>
      <c r="N507" s="20" t="s">
        <v>139</v>
      </c>
      <c r="O507" s="15"/>
      <c r="P507" s="15"/>
      <c r="Q507" s="21"/>
      <c r="R507" s="21"/>
      <c r="S507" s="21"/>
      <c r="T507" s="31" t="n">
        <v>45882</v>
      </c>
      <c r="U507" s="34"/>
    </row>
    <row r="508" s="25" customFormat="true" ht="41.4" hidden="false" customHeight="false" outlineLevel="0" collapsed="false">
      <c r="A508" s="36" t="s">
        <v>1282</v>
      </c>
      <c r="B508" s="26"/>
      <c r="C508" s="14" t="s">
        <v>64</v>
      </c>
      <c r="D508" s="15" t="n">
        <v>4</v>
      </c>
      <c r="E508" s="27" t="n">
        <f aca="false">F508/2</f>
        <v>50</v>
      </c>
      <c r="F508" s="16" t="n">
        <v>100</v>
      </c>
      <c r="G508" s="15" t="s">
        <v>36</v>
      </c>
      <c r="H508" s="17" t="s">
        <v>25</v>
      </c>
      <c r="I508" s="18" t="s">
        <v>26</v>
      </c>
      <c r="J508" s="15" t="n">
        <v>2025</v>
      </c>
      <c r="K508" s="19" t="s">
        <v>65</v>
      </c>
      <c r="L508" s="15" t="s">
        <v>28</v>
      </c>
      <c r="M508" s="15" t="s">
        <v>33</v>
      </c>
      <c r="N508" s="17"/>
      <c r="O508" s="15"/>
      <c r="P508" s="15"/>
      <c r="Q508" s="21"/>
      <c r="R508" s="21"/>
      <c r="S508" s="21"/>
      <c r="T508" s="28"/>
      <c r="U508" s="24"/>
    </row>
    <row r="509" s="25" customFormat="true" ht="41.4" hidden="false" customHeight="false" outlineLevel="0" collapsed="false">
      <c r="A509" s="36" t="s">
        <v>1283</v>
      </c>
      <c r="B509" s="26" t="s">
        <v>1284</v>
      </c>
      <c r="C509" s="14" t="s">
        <v>148</v>
      </c>
      <c r="D509" s="15" t="n">
        <v>4</v>
      </c>
      <c r="E509" s="27" t="n">
        <f aca="false">F509/2</f>
        <v>50</v>
      </c>
      <c r="F509" s="35" t="n">
        <v>100</v>
      </c>
      <c r="G509" s="15" t="s">
        <v>36</v>
      </c>
      <c r="H509" s="17" t="s">
        <v>25</v>
      </c>
      <c r="I509" s="18" t="s">
        <v>26</v>
      </c>
      <c r="J509" s="15" t="n">
        <v>2020</v>
      </c>
      <c r="K509" s="19" t="s">
        <v>27</v>
      </c>
      <c r="L509" s="15" t="s">
        <v>28</v>
      </c>
      <c r="M509" s="15" t="s">
        <v>33</v>
      </c>
      <c r="N509" s="17" t="s">
        <v>83</v>
      </c>
      <c r="O509" s="15"/>
      <c r="P509" s="15"/>
      <c r="Q509" s="21"/>
      <c r="R509" s="21"/>
      <c r="S509" s="21"/>
      <c r="T509" s="31" t="n">
        <v>45882</v>
      </c>
      <c r="U509" s="34"/>
    </row>
    <row r="510" s="25" customFormat="true" ht="41.4" hidden="false" customHeight="false" outlineLevel="0" collapsed="false">
      <c r="A510" s="36" t="s">
        <v>1285</v>
      </c>
      <c r="B510" s="26"/>
      <c r="C510" s="14" t="s">
        <v>110</v>
      </c>
      <c r="D510" s="15" t="n">
        <v>4</v>
      </c>
      <c r="E510" s="16" t="n">
        <f aca="false">F510/2</f>
        <v>50</v>
      </c>
      <c r="F510" s="16" t="n">
        <v>100</v>
      </c>
      <c r="G510" s="15" t="s">
        <v>36</v>
      </c>
      <c r="H510" s="17" t="s">
        <v>25</v>
      </c>
      <c r="I510" s="18" t="s">
        <v>26</v>
      </c>
      <c r="J510" s="15" t="n">
        <v>2025</v>
      </c>
      <c r="K510" s="19" t="s">
        <v>111</v>
      </c>
      <c r="L510" s="15" t="s">
        <v>28</v>
      </c>
      <c r="M510" s="15" t="s">
        <v>33</v>
      </c>
      <c r="N510" s="17"/>
      <c r="O510" s="15"/>
      <c r="P510" s="15"/>
      <c r="Q510" s="21"/>
      <c r="R510" s="21"/>
      <c r="S510" s="21" t="s">
        <v>113</v>
      </c>
      <c r="T510" s="31" t="n">
        <v>45876</v>
      </c>
      <c r="U510" s="24"/>
    </row>
    <row r="511" s="25" customFormat="true" ht="45.6" hidden="false" customHeight="false" outlineLevel="0" collapsed="false">
      <c r="A511" s="36" t="s">
        <v>1286</v>
      </c>
      <c r="B511" s="26" t="s">
        <v>1287</v>
      </c>
      <c r="C511" s="14"/>
      <c r="D511" s="15" t="n">
        <v>2</v>
      </c>
      <c r="E511" s="27" t="n">
        <v>1610</v>
      </c>
      <c r="F511" s="16" t="n">
        <f aca="false">E511*2</f>
        <v>3220</v>
      </c>
      <c r="G511" s="15" t="s">
        <v>354</v>
      </c>
      <c r="H511" s="17" t="s">
        <v>25</v>
      </c>
      <c r="I511" s="18" t="s">
        <v>26</v>
      </c>
      <c r="J511" s="15" t="n">
        <v>2006</v>
      </c>
      <c r="K511" s="19" t="s">
        <v>59</v>
      </c>
      <c r="L511" s="15" t="s">
        <v>28</v>
      </c>
      <c r="M511" s="15" t="s">
        <v>33</v>
      </c>
      <c r="N511" s="17"/>
      <c r="O511" s="15"/>
      <c r="P511" s="15"/>
      <c r="Q511" s="21" t="s">
        <v>253</v>
      </c>
      <c r="R511" s="21"/>
      <c r="S511" s="21"/>
      <c r="T511" s="28"/>
      <c r="U511" s="24" t="s">
        <v>1288</v>
      </c>
    </row>
    <row r="512" s="25" customFormat="true" ht="41.4" hidden="false" customHeight="false" outlineLevel="0" collapsed="false">
      <c r="A512" s="36" t="s">
        <v>1289</v>
      </c>
      <c r="B512" s="26" t="s">
        <v>1290</v>
      </c>
      <c r="C512" s="14" t="s">
        <v>246</v>
      </c>
      <c r="D512" s="15" t="n">
        <v>6</v>
      </c>
      <c r="E512" s="27" t="n">
        <f aca="false">F512/2</f>
        <v>11774</v>
      </c>
      <c r="F512" s="38" t="n">
        <v>23548</v>
      </c>
      <c r="G512" s="15" t="s">
        <v>36</v>
      </c>
      <c r="H512" s="17" t="s">
        <v>25</v>
      </c>
      <c r="I512" s="18" t="s">
        <v>26</v>
      </c>
      <c r="J512" s="15" t="n">
        <v>2020</v>
      </c>
      <c r="K512" s="19" t="s">
        <v>27</v>
      </c>
      <c r="L512" s="15" t="s">
        <v>28</v>
      </c>
      <c r="M512" s="15" t="s">
        <v>33</v>
      </c>
      <c r="N512" s="17" t="s">
        <v>139</v>
      </c>
      <c r="O512" s="15"/>
      <c r="P512" s="15"/>
      <c r="Q512" s="21" t="s">
        <v>247</v>
      </c>
      <c r="R512" s="21"/>
      <c r="S512" s="21"/>
      <c r="T512" s="31" t="n">
        <v>45882</v>
      </c>
      <c r="U512" s="24"/>
    </row>
    <row r="513" s="25" customFormat="true" ht="41.4" hidden="false" customHeight="false" outlineLevel="0" collapsed="false">
      <c r="A513" s="36" t="s">
        <v>1291</v>
      </c>
      <c r="B513" s="26" t="s">
        <v>1292</v>
      </c>
      <c r="C513" s="14" t="s">
        <v>246</v>
      </c>
      <c r="D513" s="15" t="n">
        <v>6</v>
      </c>
      <c r="E513" s="27" t="n">
        <f aca="false">F513/2</f>
        <v>11774</v>
      </c>
      <c r="F513" s="38" t="n">
        <v>23548</v>
      </c>
      <c r="G513" s="15" t="s">
        <v>36</v>
      </c>
      <c r="H513" s="17" t="s">
        <v>25</v>
      </c>
      <c r="I513" s="18" t="s">
        <v>26</v>
      </c>
      <c r="J513" s="15" t="n">
        <v>2020</v>
      </c>
      <c r="K513" s="19" t="s">
        <v>27</v>
      </c>
      <c r="L513" s="15" t="s">
        <v>28</v>
      </c>
      <c r="M513" s="15" t="s">
        <v>33</v>
      </c>
      <c r="N513" s="17"/>
      <c r="O513" s="15"/>
      <c r="P513" s="15"/>
      <c r="Q513" s="21" t="s">
        <v>247</v>
      </c>
      <c r="R513" s="21"/>
      <c r="S513" s="21"/>
      <c r="T513" s="31" t="n">
        <v>45882</v>
      </c>
      <c r="U513" s="24"/>
    </row>
    <row r="514" s="25" customFormat="true" ht="41.4" hidden="false" customHeight="false" outlineLevel="0" collapsed="false">
      <c r="A514" s="36" t="s">
        <v>1293</v>
      </c>
      <c r="B514" s="26" t="s">
        <v>1294</v>
      </c>
      <c r="C514" s="14" t="s">
        <v>246</v>
      </c>
      <c r="D514" s="15" t="n">
        <v>12</v>
      </c>
      <c r="E514" s="27" t="n">
        <f aca="false">F514/2</f>
        <v>24208.5</v>
      </c>
      <c r="F514" s="38" t="n">
        <v>48417</v>
      </c>
      <c r="G514" s="15" t="s">
        <v>36</v>
      </c>
      <c r="H514" s="17" t="s">
        <v>25</v>
      </c>
      <c r="I514" s="18" t="s">
        <v>26</v>
      </c>
      <c r="J514" s="15" t="n">
        <v>2020</v>
      </c>
      <c r="K514" s="19" t="s">
        <v>27</v>
      </c>
      <c r="L514" s="15" t="s">
        <v>28</v>
      </c>
      <c r="M514" s="15" t="s">
        <v>33</v>
      </c>
      <c r="N514" s="17"/>
      <c r="O514" s="15"/>
      <c r="P514" s="15"/>
      <c r="Q514" s="21" t="s">
        <v>247</v>
      </c>
      <c r="R514" s="21"/>
      <c r="S514" s="21"/>
      <c r="T514" s="31" t="n">
        <v>45882</v>
      </c>
      <c r="U514" s="24"/>
    </row>
    <row r="515" s="25" customFormat="true" ht="41.4" hidden="false" customHeight="false" outlineLevel="0" collapsed="false">
      <c r="A515" s="36" t="s">
        <v>1295</v>
      </c>
      <c r="B515" s="26" t="s">
        <v>1296</v>
      </c>
      <c r="C515" s="14" t="s">
        <v>246</v>
      </c>
      <c r="D515" s="15" t="n">
        <v>6</v>
      </c>
      <c r="E515" s="27" t="n">
        <f aca="false">F515/2</f>
        <v>11774</v>
      </c>
      <c r="F515" s="38" t="n">
        <v>23548</v>
      </c>
      <c r="G515" s="15" t="s">
        <v>36</v>
      </c>
      <c r="H515" s="17" t="s">
        <v>25</v>
      </c>
      <c r="I515" s="18" t="s">
        <v>26</v>
      </c>
      <c r="J515" s="15" t="n">
        <v>2020</v>
      </c>
      <c r="K515" s="19" t="s">
        <v>27</v>
      </c>
      <c r="L515" s="15" t="s">
        <v>28</v>
      </c>
      <c r="M515" s="15" t="s">
        <v>33</v>
      </c>
      <c r="N515" s="17" t="s">
        <v>153</v>
      </c>
      <c r="O515" s="15"/>
      <c r="P515" s="15"/>
      <c r="Q515" s="21" t="s">
        <v>247</v>
      </c>
      <c r="R515" s="21"/>
      <c r="S515" s="21"/>
      <c r="T515" s="31" t="n">
        <v>45882</v>
      </c>
      <c r="U515" s="24"/>
    </row>
    <row r="516" s="25" customFormat="true" ht="41.4" hidden="false" customHeight="false" outlineLevel="0" collapsed="false">
      <c r="A516" s="36" t="s">
        <v>1297</v>
      </c>
      <c r="B516" s="26" t="s">
        <v>1298</v>
      </c>
      <c r="C516" s="14" t="s">
        <v>246</v>
      </c>
      <c r="D516" s="15" t="n">
        <v>6</v>
      </c>
      <c r="E516" s="27" t="n">
        <f aca="false">F516/2</f>
        <v>11774</v>
      </c>
      <c r="F516" s="38" t="n">
        <v>23548</v>
      </c>
      <c r="G516" s="15" t="s">
        <v>36</v>
      </c>
      <c r="H516" s="17" t="s">
        <v>25</v>
      </c>
      <c r="I516" s="18" t="s">
        <v>26</v>
      </c>
      <c r="J516" s="15" t="n">
        <v>2020</v>
      </c>
      <c r="K516" s="19" t="s">
        <v>27</v>
      </c>
      <c r="L516" s="15" t="s">
        <v>28</v>
      </c>
      <c r="M516" s="15" t="s">
        <v>33</v>
      </c>
      <c r="N516" s="17" t="s">
        <v>87</v>
      </c>
      <c r="O516" s="15"/>
      <c r="P516" s="15"/>
      <c r="Q516" s="21" t="s">
        <v>247</v>
      </c>
      <c r="R516" s="21"/>
      <c r="S516" s="21"/>
      <c r="T516" s="31" t="n">
        <v>45882</v>
      </c>
      <c r="U516" s="24"/>
    </row>
    <row r="517" s="25" customFormat="true" ht="41.4" hidden="false" customHeight="false" outlineLevel="0" collapsed="false">
      <c r="A517" s="63" t="s">
        <v>1299</v>
      </c>
      <c r="B517" s="26"/>
      <c r="C517" s="14" t="s">
        <v>264</v>
      </c>
      <c r="D517" s="30" t="n">
        <v>12</v>
      </c>
      <c r="E517" s="16" t="n">
        <f aca="false">F517/2</f>
        <v>22264.2</v>
      </c>
      <c r="F517" s="16" t="n">
        <f aca="false">47880*0.93</f>
        <v>44528.4</v>
      </c>
      <c r="G517" s="15" t="s">
        <v>36</v>
      </c>
      <c r="H517" s="17" t="s">
        <v>25</v>
      </c>
      <c r="I517" s="18" t="s">
        <v>26</v>
      </c>
      <c r="J517" s="15" t="n">
        <v>2024</v>
      </c>
      <c r="K517" s="19" t="s">
        <v>27</v>
      </c>
      <c r="L517" s="15" t="s">
        <v>28</v>
      </c>
      <c r="M517" s="15" t="s">
        <v>33</v>
      </c>
      <c r="N517" s="30"/>
      <c r="O517" s="60"/>
      <c r="P517" s="60"/>
      <c r="Q517" s="21"/>
      <c r="R517" s="21"/>
      <c r="S517" s="40"/>
      <c r="T517" s="31" t="n">
        <v>45880</v>
      </c>
      <c r="U517" s="41"/>
    </row>
    <row r="518" s="25" customFormat="true" ht="41.4" hidden="false" customHeight="false" outlineLevel="0" collapsed="false">
      <c r="A518" s="36" t="s">
        <v>1300</v>
      </c>
      <c r="B518" s="26" t="s">
        <v>1301</v>
      </c>
      <c r="C518" s="14" t="s">
        <v>1302</v>
      </c>
      <c r="D518" s="15" t="n">
        <v>12</v>
      </c>
      <c r="E518" s="27" t="n">
        <v>1200</v>
      </c>
      <c r="F518" s="16" t="n">
        <v>2200</v>
      </c>
      <c r="G518" s="15" t="s">
        <v>36</v>
      </c>
      <c r="H518" s="17" t="s">
        <v>25</v>
      </c>
      <c r="I518" s="18" t="s">
        <v>26</v>
      </c>
      <c r="J518" s="15" t="n">
        <v>2021</v>
      </c>
      <c r="K518" s="19" t="s">
        <v>27</v>
      </c>
      <c r="L518" s="15" t="s">
        <v>28</v>
      </c>
      <c r="M518" s="15" t="s">
        <v>33</v>
      </c>
      <c r="N518" s="20" t="s">
        <v>45</v>
      </c>
      <c r="O518" s="15"/>
      <c r="P518" s="15"/>
      <c r="Q518" s="21"/>
      <c r="R518" s="21"/>
      <c r="S518" s="21"/>
      <c r="T518" s="28"/>
      <c r="U518" s="34"/>
    </row>
    <row r="519" s="25" customFormat="true" ht="41.4" hidden="false" customHeight="false" outlineLevel="0" collapsed="false">
      <c r="A519" s="36" t="s">
        <v>1303</v>
      </c>
      <c r="B519" s="26" t="s">
        <v>1304</v>
      </c>
      <c r="C519" s="14" t="s">
        <v>122</v>
      </c>
      <c r="D519" s="15" t="n">
        <v>12</v>
      </c>
      <c r="E519" s="27" t="n">
        <v>23628</v>
      </c>
      <c r="F519" s="16" t="n">
        <v>39204</v>
      </c>
      <c r="G519" s="15" t="s">
        <v>36</v>
      </c>
      <c r="H519" s="17" t="s">
        <v>25</v>
      </c>
      <c r="I519" s="18" t="s">
        <v>26</v>
      </c>
      <c r="J519" s="15" t="n">
        <v>2017</v>
      </c>
      <c r="K519" s="19" t="s">
        <v>27</v>
      </c>
      <c r="L519" s="15" t="s">
        <v>28</v>
      </c>
      <c r="M519" s="15" t="s">
        <v>33</v>
      </c>
      <c r="N519" s="17" t="s">
        <v>257</v>
      </c>
      <c r="O519" s="15"/>
      <c r="P519" s="15"/>
      <c r="Q519" s="21"/>
      <c r="R519" s="21"/>
      <c r="S519" s="21"/>
      <c r="T519" s="28"/>
      <c r="U519" s="24"/>
    </row>
    <row r="520" s="25" customFormat="true" ht="41.4" hidden="false" customHeight="false" outlineLevel="0" collapsed="false">
      <c r="A520" s="36" t="s">
        <v>1305</v>
      </c>
      <c r="B520" s="26" t="s">
        <v>1306</v>
      </c>
      <c r="C520" s="14" t="s">
        <v>202</v>
      </c>
      <c r="D520" s="15" t="n">
        <v>4</v>
      </c>
      <c r="E520" s="27" t="n">
        <f aca="false">F520/2</f>
        <v>50</v>
      </c>
      <c r="F520" s="16" t="n">
        <v>100</v>
      </c>
      <c r="G520" s="15" t="s">
        <v>36</v>
      </c>
      <c r="H520" s="17" t="s">
        <v>25</v>
      </c>
      <c r="I520" s="18" t="s">
        <v>26</v>
      </c>
      <c r="J520" s="17" t="n">
        <v>2021</v>
      </c>
      <c r="K520" s="19" t="s">
        <v>27</v>
      </c>
      <c r="L520" s="15" t="s">
        <v>28</v>
      </c>
      <c r="M520" s="15" t="s">
        <v>33</v>
      </c>
      <c r="N520" s="20"/>
      <c r="O520" s="15"/>
      <c r="P520" s="15"/>
      <c r="Q520" s="21"/>
      <c r="R520" s="21"/>
      <c r="S520" s="21"/>
      <c r="T520" s="28"/>
      <c r="U520" s="34"/>
    </row>
    <row r="521" s="25" customFormat="true" ht="57" hidden="false" customHeight="false" outlineLevel="0" collapsed="false">
      <c r="A521" s="36" t="s">
        <v>1307</v>
      </c>
      <c r="B521" s="26" t="s">
        <v>1308</v>
      </c>
      <c r="C521" s="14"/>
      <c r="D521" s="15" t="s">
        <v>1309</v>
      </c>
      <c r="E521" s="27" t="n">
        <f aca="false">F521/2</f>
        <v>703.5</v>
      </c>
      <c r="F521" s="52" t="n">
        <v>1407</v>
      </c>
      <c r="G521" s="15" t="s">
        <v>354</v>
      </c>
      <c r="H521" s="17" t="s">
        <v>25</v>
      </c>
      <c r="I521" s="18" t="s">
        <v>26</v>
      </c>
      <c r="J521" s="15" t="n">
        <v>2001</v>
      </c>
      <c r="K521" s="19" t="s">
        <v>65</v>
      </c>
      <c r="L521" s="15" t="s">
        <v>28</v>
      </c>
      <c r="M521" s="15" t="s">
        <v>33</v>
      </c>
      <c r="N521" s="20"/>
      <c r="O521" s="15"/>
      <c r="P521" s="15"/>
      <c r="Q521" s="21" t="s">
        <v>280</v>
      </c>
      <c r="R521" s="21"/>
      <c r="S521" s="21"/>
      <c r="T521" s="28"/>
      <c r="U521" s="24" t="s">
        <v>1310</v>
      </c>
    </row>
    <row r="522" s="25" customFormat="true" ht="41.4" hidden="false" customHeight="false" outlineLevel="0" collapsed="false">
      <c r="A522" s="36" t="s">
        <v>1311</v>
      </c>
      <c r="B522" s="26" t="s">
        <v>1312</v>
      </c>
      <c r="C522" s="14" t="s">
        <v>1313</v>
      </c>
      <c r="D522" s="15" t="n">
        <v>10</v>
      </c>
      <c r="E522" s="27" t="n">
        <f aca="false">F522/2</f>
        <v>960</v>
      </c>
      <c r="F522" s="16" t="n">
        <v>1920</v>
      </c>
      <c r="G522" s="15" t="s">
        <v>36</v>
      </c>
      <c r="H522" s="17" t="s">
        <v>25</v>
      </c>
      <c r="I522" s="18" t="s">
        <v>26</v>
      </c>
      <c r="J522" s="15" t="n">
        <v>2020</v>
      </c>
      <c r="K522" s="19" t="s">
        <v>27</v>
      </c>
      <c r="L522" s="15" t="s">
        <v>28</v>
      </c>
      <c r="M522" s="15" t="s">
        <v>33</v>
      </c>
      <c r="N522" s="17" t="s">
        <v>45</v>
      </c>
      <c r="O522" s="15"/>
      <c r="P522" s="15"/>
      <c r="Q522" s="21"/>
      <c r="R522" s="21"/>
      <c r="S522" s="21"/>
      <c r="T522" s="28"/>
      <c r="U522" s="34"/>
    </row>
    <row r="523" s="25" customFormat="true" ht="41.4" hidden="false" customHeight="false" outlineLevel="0" collapsed="false">
      <c r="A523" s="36" t="s">
        <v>1314</v>
      </c>
      <c r="B523" s="26" t="s">
        <v>1315</v>
      </c>
      <c r="C523" s="14" t="s">
        <v>1048</v>
      </c>
      <c r="D523" s="15" t="n">
        <v>12</v>
      </c>
      <c r="E523" s="27" t="n">
        <v>2255</v>
      </c>
      <c r="F523" s="16" t="n">
        <f aca="false">E523*2</f>
        <v>4510</v>
      </c>
      <c r="G523" s="15" t="s">
        <v>36</v>
      </c>
      <c r="H523" s="17" t="s">
        <v>25</v>
      </c>
      <c r="I523" s="18" t="s">
        <v>26</v>
      </c>
      <c r="J523" s="15" t="n">
        <v>2020</v>
      </c>
      <c r="K523" s="19" t="s">
        <v>27</v>
      </c>
      <c r="L523" s="15" t="s">
        <v>28</v>
      </c>
      <c r="M523" s="15" t="s">
        <v>33</v>
      </c>
      <c r="N523" s="17" t="s">
        <v>45</v>
      </c>
      <c r="O523" s="15"/>
      <c r="P523" s="15"/>
      <c r="Q523" s="21"/>
      <c r="R523" s="21"/>
      <c r="S523" s="21"/>
      <c r="T523" s="31" t="n">
        <v>45897</v>
      </c>
      <c r="U523" s="34"/>
    </row>
    <row r="524" s="25" customFormat="true" ht="41.4" hidden="false" customHeight="false" outlineLevel="0" collapsed="false">
      <c r="A524" s="36" t="s">
        <v>1316</v>
      </c>
      <c r="B524" s="26"/>
      <c r="C524" s="14" t="s">
        <v>528</v>
      </c>
      <c r="D524" s="15" t="n">
        <v>12</v>
      </c>
      <c r="E524" s="27" t="n">
        <f aca="false">F524/2</f>
        <v>5522</v>
      </c>
      <c r="F524" s="16" t="n">
        <f aca="false">FLOOR(9204*1.2,1)</f>
        <v>11044</v>
      </c>
      <c r="G524" s="15" t="s">
        <v>36</v>
      </c>
      <c r="H524" s="17" t="s">
        <v>25</v>
      </c>
      <c r="I524" s="18" t="s">
        <v>26</v>
      </c>
      <c r="J524" s="15" t="n">
        <v>2023</v>
      </c>
      <c r="K524" s="19" t="s">
        <v>27</v>
      </c>
      <c r="L524" s="15" t="s">
        <v>28</v>
      </c>
      <c r="M524" s="15" t="s">
        <v>33</v>
      </c>
      <c r="N524" s="17"/>
      <c r="O524" s="15"/>
      <c r="P524" s="15"/>
      <c r="Q524" s="21"/>
      <c r="R524" s="21"/>
      <c r="S524" s="21"/>
      <c r="T524" s="28"/>
      <c r="U524" s="24"/>
    </row>
    <row r="525" s="25" customFormat="true" ht="41.4" hidden="false" customHeight="false" outlineLevel="0" collapsed="false">
      <c r="A525" s="36" t="s">
        <v>1317</v>
      </c>
      <c r="B525" s="26" t="s">
        <v>1318</v>
      </c>
      <c r="C525" s="14" t="s">
        <v>1319</v>
      </c>
      <c r="D525" s="15" t="n">
        <v>12</v>
      </c>
      <c r="E525" s="27" t="n">
        <f aca="false">F525/2</f>
        <v>1250</v>
      </c>
      <c r="F525" s="16" t="n">
        <v>2500</v>
      </c>
      <c r="G525" s="15" t="s">
        <v>354</v>
      </c>
      <c r="H525" s="17" t="s">
        <v>25</v>
      </c>
      <c r="I525" s="18" t="s">
        <v>26</v>
      </c>
      <c r="J525" s="15" t="n">
        <v>1999</v>
      </c>
      <c r="K525" s="19" t="s">
        <v>27</v>
      </c>
      <c r="L525" s="15" t="s">
        <v>28</v>
      </c>
      <c r="M525" s="15" t="s">
        <v>33</v>
      </c>
      <c r="N525" s="17" t="s">
        <v>1227</v>
      </c>
      <c r="O525" s="15"/>
      <c r="P525" s="15"/>
      <c r="Q525" s="21" t="s">
        <v>47</v>
      </c>
      <c r="R525" s="21"/>
      <c r="S525" s="21"/>
      <c r="T525" s="28"/>
      <c r="U525" s="24" t="s">
        <v>1320</v>
      </c>
    </row>
    <row r="526" s="25" customFormat="true" ht="41.4" hidden="false" customHeight="false" outlineLevel="0" collapsed="false">
      <c r="A526" s="59" t="s">
        <v>1321</v>
      </c>
      <c r="B526" s="30"/>
      <c r="C526" s="14" t="s">
        <v>475</v>
      </c>
      <c r="D526" s="15" t="n">
        <v>4</v>
      </c>
      <c r="E526" s="16" t="n">
        <f aca="false">F526/2</f>
        <v>13920</v>
      </c>
      <c r="F526" s="16" t="n">
        <f aca="false">11600*2*1.2</f>
        <v>27840</v>
      </c>
      <c r="G526" s="15" t="s">
        <v>36</v>
      </c>
      <c r="H526" s="17" t="s">
        <v>25</v>
      </c>
      <c r="I526" s="18" t="s">
        <v>26</v>
      </c>
      <c r="J526" s="15" t="n">
        <v>2025</v>
      </c>
      <c r="K526" s="19" t="s">
        <v>27</v>
      </c>
      <c r="L526" s="15" t="s">
        <v>28</v>
      </c>
      <c r="M526" s="15" t="s">
        <v>33</v>
      </c>
      <c r="N526" s="17" t="s">
        <v>45</v>
      </c>
      <c r="O526" s="15"/>
      <c r="P526" s="15"/>
      <c r="Q526" s="21"/>
      <c r="R526" s="21"/>
      <c r="S526" s="40"/>
      <c r="T526" s="31" t="n">
        <v>45846</v>
      </c>
      <c r="U526" s="24"/>
    </row>
    <row r="527" s="25" customFormat="true" ht="41.4" hidden="false" customHeight="false" outlineLevel="0" collapsed="false">
      <c r="A527" s="36" t="s">
        <v>1322</v>
      </c>
      <c r="B527" s="26" t="s">
        <v>1323</v>
      </c>
      <c r="C527" s="14" t="s">
        <v>1324</v>
      </c>
      <c r="D527" s="15" t="n">
        <v>4</v>
      </c>
      <c r="E527" s="27" t="n">
        <f aca="false">F527/2</f>
        <v>360</v>
      </c>
      <c r="F527" s="16" t="n">
        <v>720</v>
      </c>
      <c r="G527" s="15" t="s">
        <v>24</v>
      </c>
      <c r="H527" s="17" t="s">
        <v>25</v>
      </c>
      <c r="I527" s="18" t="s">
        <v>26</v>
      </c>
      <c r="J527" s="15" t="n">
        <v>2014</v>
      </c>
      <c r="K527" s="19" t="s">
        <v>1325</v>
      </c>
      <c r="L527" s="15" t="s">
        <v>28</v>
      </c>
      <c r="M527" s="15" t="s">
        <v>33</v>
      </c>
      <c r="N527" s="17" t="s">
        <v>83</v>
      </c>
      <c r="O527" s="15"/>
      <c r="P527" s="15"/>
      <c r="Q527" s="21" t="s">
        <v>302</v>
      </c>
      <c r="R527" s="21"/>
      <c r="S527" s="21"/>
      <c r="T527" s="28"/>
      <c r="U527" s="24"/>
    </row>
    <row r="528" s="25" customFormat="true" ht="41.4" hidden="false" customHeight="false" outlineLevel="0" collapsed="false">
      <c r="A528" s="36" t="s">
        <v>1326</v>
      </c>
      <c r="B528" s="26"/>
      <c r="C528" s="14" t="s">
        <v>197</v>
      </c>
      <c r="D528" s="15" t="n">
        <v>4</v>
      </c>
      <c r="E528" s="16" t="n">
        <f aca="false">F528/2</f>
        <v>625</v>
      </c>
      <c r="F528" s="16" t="n">
        <v>1250</v>
      </c>
      <c r="G528" s="15" t="s">
        <v>36</v>
      </c>
      <c r="H528" s="17" t="s">
        <v>25</v>
      </c>
      <c r="I528" s="18" t="s">
        <v>26</v>
      </c>
      <c r="J528" s="15" t="n">
        <v>2025</v>
      </c>
      <c r="K528" s="19" t="s">
        <v>27</v>
      </c>
      <c r="L528" s="15" t="s">
        <v>28</v>
      </c>
      <c r="M528" s="15" t="s">
        <v>33</v>
      </c>
      <c r="N528" s="17"/>
      <c r="O528" s="15"/>
      <c r="P528" s="15"/>
      <c r="Q528" s="21"/>
      <c r="R528" s="21"/>
      <c r="S528" s="21"/>
      <c r="T528" s="28"/>
      <c r="U528" s="24"/>
    </row>
    <row r="529" s="25" customFormat="true" ht="41.4" hidden="false" customHeight="false" outlineLevel="0" collapsed="false">
      <c r="A529" s="36" t="s">
        <v>1327</v>
      </c>
      <c r="B529" s="26" t="s">
        <v>1328</v>
      </c>
      <c r="C529" s="14" t="s">
        <v>1329</v>
      </c>
      <c r="D529" s="15" t="n">
        <v>1</v>
      </c>
      <c r="E529" s="27" t="n">
        <f aca="false">F529/2</f>
        <v>600000</v>
      </c>
      <c r="F529" s="16" t="n">
        <v>1200000</v>
      </c>
      <c r="G529" s="15" t="s">
        <v>36</v>
      </c>
      <c r="H529" s="17" t="s">
        <v>25</v>
      </c>
      <c r="I529" s="18" t="s">
        <v>26</v>
      </c>
      <c r="J529" s="15" t="n">
        <v>2019</v>
      </c>
      <c r="K529" s="19" t="s">
        <v>27</v>
      </c>
      <c r="L529" s="15" t="s">
        <v>28</v>
      </c>
      <c r="M529" s="15" t="s">
        <v>33</v>
      </c>
      <c r="N529" s="20" t="s">
        <v>40</v>
      </c>
      <c r="O529" s="15"/>
      <c r="P529" s="15"/>
      <c r="Q529" s="21"/>
      <c r="R529" s="21"/>
      <c r="S529" s="21"/>
      <c r="T529" s="28"/>
      <c r="U529" s="34"/>
    </row>
    <row r="530" s="25" customFormat="true" ht="69" hidden="false" customHeight="false" outlineLevel="0" collapsed="false">
      <c r="A530" s="36" t="s">
        <v>1330</v>
      </c>
      <c r="B530" s="26" t="s">
        <v>1331</v>
      </c>
      <c r="C530" s="14" t="s">
        <v>1332</v>
      </c>
      <c r="D530" s="15" t="n">
        <v>4</v>
      </c>
      <c r="E530" s="27" t="n">
        <v>50</v>
      </c>
      <c r="F530" s="16" t="n">
        <v>100</v>
      </c>
      <c r="G530" s="15" t="s">
        <v>36</v>
      </c>
      <c r="H530" s="17" t="s">
        <v>25</v>
      </c>
      <c r="I530" s="18" t="s">
        <v>26</v>
      </c>
      <c r="J530" s="15" t="n">
        <v>2021</v>
      </c>
      <c r="K530" s="19" t="s">
        <v>1333</v>
      </c>
      <c r="L530" s="15" t="s">
        <v>28</v>
      </c>
      <c r="M530" s="15" t="s">
        <v>33</v>
      </c>
      <c r="N530" s="20"/>
      <c r="O530" s="15"/>
      <c r="P530" s="15"/>
      <c r="Q530" s="21"/>
      <c r="R530" s="21"/>
      <c r="S530" s="21"/>
      <c r="T530" s="28"/>
      <c r="U530" s="34"/>
      <c r="V530" s="37"/>
      <c r="W530" s="37"/>
    </row>
    <row r="531" s="25" customFormat="true" ht="41.4" hidden="false" customHeight="false" outlineLevel="0" collapsed="false">
      <c r="A531" s="63" t="s">
        <v>1334</v>
      </c>
      <c r="B531" s="26"/>
      <c r="C531" s="14" t="s">
        <v>264</v>
      </c>
      <c r="D531" s="30" t="n">
        <v>6</v>
      </c>
      <c r="E531" s="16" t="n">
        <f aca="false">F531/2</f>
        <v>20332.59</v>
      </c>
      <c r="F531" s="16" t="n">
        <f aca="false">43726*0.93</f>
        <v>40665.18</v>
      </c>
      <c r="G531" s="15" t="s">
        <v>36</v>
      </c>
      <c r="H531" s="17" t="s">
        <v>25</v>
      </c>
      <c r="I531" s="18" t="s">
        <v>26</v>
      </c>
      <c r="J531" s="15" t="n">
        <v>2024</v>
      </c>
      <c r="K531" s="19" t="s">
        <v>27</v>
      </c>
      <c r="L531" s="15" t="s">
        <v>28</v>
      </c>
      <c r="M531" s="15" t="s">
        <v>33</v>
      </c>
      <c r="N531" s="30" t="s">
        <v>257</v>
      </c>
      <c r="O531" s="60"/>
      <c r="P531" s="60"/>
      <c r="Q531" s="21"/>
      <c r="R531" s="21"/>
      <c r="S531" s="40"/>
      <c r="T531" s="31" t="n">
        <v>45880</v>
      </c>
      <c r="U531" s="41"/>
    </row>
    <row r="532" s="25" customFormat="true" ht="41.4" hidden="false" customHeight="false" outlineLevel="0" collapsed="false">
      <c r="A532" s="36" t="s">
        <v>1335</v>
      </c>
      <c r="B532" s="26" t="s">
        <v>1336</v>
      </c>
      <c r="C532" s="14" t="s">
        <v>122</v>
      </c>
      <c r="D532" s="15" t="n">
        <v>12</v>
      </c>
      <c r="E532" s="27" t="n">
        <v>23628</v>
      </c>
      <c r="F532" s="16" t="n">
        <v>39204</v>
      </c>
      <c r="G532" s="15" t="s">
        <v>36</v>
      </c>
      <c r="H532" s="17" t="s">
        <v>25</v>
      </c>
      <c r="I532" s="18" t="s">
        <v>26</v>
      </c>
      <c r="J532" s="15" t="n">
        <v>2017</v>
      </c>
      <c r="K532" s="19" t="s">
        <v>27</v>
      </c>
      <c r="L532" s="15" t="s">
        <v>28</v>
      </c>
      <c r="M532" s="15" t="s">
        <v>33</v>
      </c>
      <c r="N532" s="17" t="s">
        <v>257</v>
      </c>
      <c r="O532" s="15"/>
      <c r="P532" s="15"/>
      <c r="Q532" s="21"/>
      <c r="R532" s="21"/>
      <c r="S532" s="21"/>
      <c r="T532" s="28"/>
      <c r="U532" s="24"/>
    </row>
    <row r="533" s="25" customFormat="true" ht="41.4" hidden="false" customHeight="false" outlineLevel="0" collapsed="false">
      <c r="A533" s="36" t="s">
        <v>1337</v>
      </c>
      <c r="B533" s="26"/>
      <c r="C533" s="14" t="s">
        <v>249</v>
      </c>
      <c r="D533" s="15" t="n">
        <v>12</v>
      </c>
      <c r="E533" s="27" t="n">
        <f aca="false">F533/2</f>
        <v>33750</v>
      </c>
      <c r="F533" s="16" t="n">
        <v>67500</v>
      </c>
      <c r="G533" s="15" t="s">
        <v>36</v>
      </c>
      <c r="H533" s="17" t="s">
        <v>25</v>
      </c>
      <c r="I533" s="18" t="s">
        <v>26</v>
      </c>
      <c r="J533" s="15" t="n">
        <v>2023</v>
      </c>
      <c r="K533" s="19" t="s">
        <v>27</v>
      </c>
      <c r="L533" s="15" t="s">
        <v>28</v>
      </c>
      <c r="M533" s="15" t="s">
        <v>33</v>
      </c>
      <c r="N533" s="20"/>
      <c r="O533" s="15"/>
      <c r="P533" s="15"/>
      <c r="Q533" s="21"/>
      <c r="R533" s="21"/>
      <c r="S533" s="21"/>
      <c r="T533" s="28"/>
      <c r="U533" s="34"/>
    </row>
    <row r="534" s="25" customFormat="true" ht="41.4" hidden="false" customHeight="false" outlineLevel="0" collapsed="false">
      <c r="A534" s="36" t="s">
        <v>1338</v>
      </c>
      <c r="B534" s="26"/>
      <c r="C534" s="14" t="s">
        <v>249</v>
      </c>
      <c r="D534" s="15" t="n">
        <v>12</v>
      </c>
      <c r="E534" s="27" t="n">
        <f aca="false">F534/2</f>
        <v>33750</v>
      </c>
      <c r="F534" s="16" t="n">
        <v>67500</v>
      </c>
      <c r="G534" s="15" t="s">
        <v>36</v>
      </c>
      <c r="H534" s="17" t="s">
        <v>25</v>
      </c>
      <c r="I534" s="18" t="s">
        <v>26</v>
      </c>
      <c r="J534" s="15" t="n">
        <v>2023</v>
      </c>
      <c r="K534" s="19" t="s">
        <v>27</v>
      </c>
      <c r="L534" s="15" t="s">
        <v>28</v>
      </c>
      <c r="M534" s="15" t="s">
        <v>33</v>
      </c>
      <c r="N534" s="20"/>
      <c r="O534" s="15"/>
      <c r="P534" s="15"/>
      <c r="Q534" s="21"/>
      <c r="R534" s="21"/>
      <c r="S534" s="21"/>
      <c r="T534" s="28"/>
      <c r="U534" s="34"/>
    </row>
    <row r="535" s="25" customFormat="true" ht="41.4" hidden="false" customHeight="false" outlineLevel="0" collapsed="false">
      <c r="A535" s="36" t="s">
        <v>1339</v>
      </c>
      <c r="B535" s="26"/>
      <c r="C535" s="14" t="s">
        <v>1340</v>
      </c>
      <c r="D535" s="15" t="n">
        <v>1</v>
      </c>
      <c r="E535" s="27" t="n">
        <f aca="false">F535/2</f>
        <v>390</v>
      </c>
      <c r="F535" s="16" t="n">
        <f aca="false">650*1.2</f>
        <v>780</v>
      </c>
      <c r="G535" s="15" t="s">
        <v>36</v>
      </c>
      <c r="H535" s="17" t="s">
        <v>25</v>
      </c>
      <c r="I535" s="18" t="s">
        <v>26</v>
      </c>
      <c r="J535" s="15" t="n">
        <v>2025</v>
      </c>
      <c r="K535" s="19" t="s">
        <v>27</v>
      </c>
      <c r="L535" s="15" t="s">
        <v>28</v>
      </c>
      <c r="M535" s="15" t="s">
        <v>33</v>
      </c>
      <c r="N535" s="17"/>
      <c r="O535" s="15"/>
      <c r="P535" s="15"/>
      <c r="Q535" s="21"/>
      <c r="R535" s="21"/>
      <c r="S535" s="21"/>
      <c r="T535" s="28"/>
      <c r="U535" s="24"/>
    </row>
    <row r="536" s="25" customFormat="true" ht="41.4" hidden="false" customHeight="false" outlineLevel="0" collapsed="false">
      <c r="A536" s="36" t="s">
        <v>1341</v>
      </c>
      <c r="B536" s="26"/>
      <c r="C536" s="14" t="s">
        <v>1302</v>
      </c>
      <c r="D536" s="15" t="n">
        <v>6</v>
      </c>
      <c r="E536" s="27" t="n">
        <v>600</v>
      </c>
      <c r="F536" s="16" t="n">
        <v>1100</v>
      </c>
      <c r="G536" s="15" t="s">
        <v>36</v>
      </c>
      <c r="H536" s="17" t="s">
        <v>25</v>
      </c>
      <c r="I536" s="18" t="s">
        <v>26</v>
      </c>
      <c r="J536" s="15" t="n">
        <v>2021</v>
      </c>
      <c r="K536" s="19" t="s">
        <v>27</v>
      </c>
      <c r="L536" s="15" t="s">
        <v>28</v>
      </c>
      <c r="M536" s="15" t="s">
        <v>33</v>
      </c>
      <c r="N536" s="20" t="s">
        <v>712</v>
      </c>
      <c r="O536" s="15"/>
      <c r="P536" s="15"/>
      <c r="Q536" s="21"/>
      <c r="R536" s="21"/>
      <c r="S536" s="21"/>
      <c r="T536" s="28"/>
      <c r="U536" s="34"/>
    </row>
    <row r="537" s="25" customFormat="true" ht="41.4" hidden="false" customHeight="false" outlineLevel="0" collapsed="false">
      <c r="A537" s="36" t="s">
        <v>1342</v>
      </c>
      <c r="B537" s="26"/>
      <c r="C537" s="14" t="s">
        <v>1343</v>
      </c>
      <c r="D537" s="15" t="n">
        <v>14</v>
      </c>
      <c r="E537" s="16" t="n">
        <f aca="false">F537/2</f>
        <v>2450</v>
      </c>
      <c r="F537" s="16" t="n">
        <f aca="false">14*350</f>
        <v>4900</v>
      </c>
      <c r="G537" s="15" t="s">
        <v>36</v>
      </c>
      <c r="H537" s="17" t="s">
        <v>25</v>
      </c>
      <c r="I537" s="18" t="s">
        <v>26</v>
      </c>
      <c r="J537" s="15" t="n">
        <v>2025</v>
      </c>
      <c r="K537" s="19" t="s">
        <v>27</v>
      </c>
      <c r="L537" s="15" t="s">
        <v>28</v>
      </c>
      <c r="M537" s="15" t="s">
        <v>33</v>
      </c>
      <c r="N537" s="17" t="s">
        <v>270</v>
      </c>
      <c r="O537" s="15"/>
      <c r="P537" s="15"/>
      <c r="Q537" s="21"/>
      <c r="R537" s="21"/>
      <c r="S537" s="21"/>
      <c r="T537" s="28"/>
      <c r="U537" s="24"/>
    </row>
    <row r="538" s="25" customFormat="true" ht="41.4" hidden="false" customHeight="false" outlineLevel="0" collapsed="false">
      <c r="A538" s="59" t="s">
        <v>1344</v>
      </c>
      <c r="B538" s="26"/>
      <c r="C538" s="14" t="s">
        <v>283</v>
      </c>
      <c r="D538" s="15" t="n">
        <v>12</v>
      </c>
      <c r="E538" s="27" t="n">
        <f aca="false">F538/2</f>
        <v>14040</v>
      </c>
      <c r="F538" s="16" t="n">
        <f aca="false">23400*1.2</f>
        <v>28080</v>
      </c>
      <c r="G538" s="15" t="s">
        <v>36</v>
      </c>
      <c r="H538" s="17" t="s">
        <v>25</v>
      </c>
      <c r="I538" s="18" t="s">
        <v>26</v>
      </c>
      <c r="J538" s="15" t="n">
        <v>2023</v>
      </c>
      <c r="K538" s="19" t="s">
        <v>27</v>
      </c>
      <c r="L538" s="15" t="s">
        <v>28</v>
      </c>
      <c r="M538" s="15" t="s">
        <v>33</v>
      </c>
      <c r="N538" s="17" t="s">
        <v>72</v>
      </c>
      <c r="O538" s="15"/>
      <c r="P538" s="15"/>
      <c r="Q538" s="21"/>
      <c r="R538" s="21"/>
      <c r="S538" s="21"/>
      <c r="T538" s="28"/>
      <c r="U538" s="24"/>
    </row>
    <row r="539" s="25" customFormat="true" ht="41.4" hidden="false" customHeight="false" outlineLevel="0" collapsed="false">
      <c r="A539" s="36" t="s">
        <v>1345</v>
      </c>
      <c r="B539" s="26" t="s">
        <v>1346</v>
      </c>
      <c r="C539" s="14" t="s">
        <v>1347</v>
      </c>
      <c r="D539" s="15" t="n">
        <v>12</v>
      </c>
      <c r="E539" s="27" t="n">
        <f aca="false">F539/2</f>
        <v>5700</v>
      </c>
      <c r="F539" s="16" t="n">
        <v>11400</v>
      </c>
      <c r="G539" s="15" t="s">
        <v>36</v>
      </c>
      <c r="H539" s="17" t="s">
        <v>25</v>
      </c>
      <c r="I539" s="18" t="s">
        <v>26</v>
      </c>
      <c r="J539" s="15" t="n">
        <v>2017</v>
      </c>
      <c r="K539" s="19" t="s">
        <v>27</v>
      </c>
      <c r="L539" s="15" t="s">
        <v>28</v>
      </c>
      <c r="M539" s="15" t="s">
        <v>33</v>
      </c>
      <c r="N539" s="17" t="s">
        <v>572</v>
      </c>
      <c r="O539" s="15"/>
      <c r="P539" s="15"/>
      <c r="Q539" s="21" t="s">
        <v>78</v>
      </c>
      <c r="R539" s="21"/>
      <c r="S539" s="21"/>
      <c r="T539" s="28"/>
      <c r="U539" s="24"/>
    </row>
    <row r="540" s="25" customFormat="true" ht="41.4" hidden="false" customHeight="false" outlineLevel="0" collapsed="false">
      <c r="A540" s="36" t="s">
        <v>1348</v>
      </c>
      <c r="B540" s="26" t="s">
        <v>1349</v>
      </c>
      <c r="C540" s="14" t="s">
        <v>1350</v>
      </c>
      <c r="D540" s="15" t="n">
        <v>4</v>
      </c>
      <c r="E540" s="27" t="n">
        <f aca="false">F540/2</f>
        <v>3600</v>
      </c>
      <c r="F540" s="16" t="n">
        <v>7200</v>
      </c>
      <c r="G540" s="15" t="s">
        <v>36</v>
      </c>
      <c r="H540" s="17" t="s">
        <v>25</v>
      </c>
      <c r="I540" s="18" t="s">
        <v>26</v>
      </c>
      <c r="J540" s="15"/>
      <c r="K540" s="19" t="s">
        <v>27</v>
      </c>
      <c r="L540" s="15" t="s">
        <v>28</v>
      </c>
      <c r="M540" s="15" t="s">
        <v>33</v>
      </c>
      <c r="N540" s="17"/>
      <c r="O540" s="15"/>
      <c r="P540" s="15"/>
      <c r="Q540" s="21" t="s">
        <v>78</v>
      </c>
      <c r="R540" s="21"/>
      <c r="S540" s="21"/>
      <c r="T540" s="28"/>
      <c r="U540" s="24"/>
    </row>
    <row r="541" s="25" customFormat="true" ht="41.4" hidden="false" customHeight="false" outlineLevel="0" collapsed="false">
      <c r="A541" s="36" t="s">
        <v>1351</v>
      </c>
      <c r="B541" s="26" t="s">
        <v>1352</v>
      </c>
      <c r="C541" s="14" t="s">
        <v>122</v>
      </c>
      <c r="D541" s="15" t="n">
        <v>12</v>
      </c>
      <c r="E541" s="27" t="n">
        <v>23628</v>
      </c>
      <c r="F541" s="16" t="n">
        <v>39204</v>
      </c>
      <c r="G541" s="15" t="s">
        <v>36</v>
      </c>
      <c r="H541" s="17" t="s">
        <v>25</v>
      </c>
      <c r="I541" s="18" t="s">
        <v>26</v>
      </c>
      <c r="J541" s="15" t="n">
        <v>2017</v>
      </c>
      <c r="K541" s="19" t="s">
        <v>27</v>
      </c>
      <c r="L541" s="15" t="s">
        <v>28</v>
      </c>
      <c r="M541" s="15" t="s">
        <v>33</v>
      </c>
      <c r="N541" s="17" t="s">
        <v>1353</v>
      </c>
      <c r="O541" s="15"/>
      <c r="P541" s="15"/>
      <c r="Q541" s="21"/>
      <c r="R541" s="21"/>
      <c r="S541" s="21"/>
      <c r="T541" s="28"/>
      <c r="U541" s="24"/>
    </row>
    <row r="542" s="25" customFormat="true" ht="41.4" hidden="false" customHeight="false" outlineLevel="0" collapsed="false">
      <c r="A542" s="36" t="s">
        <v>1354</v>
      </c>
      <c r="B542" s="26"/>
      <c r="C542" s="14" t="s">
        <v>1355</v>
      </c>
      <c r="D542" s="15" t="n">
        <v>12</v>
      </c>
      <c r="E542" s="27" t="n">
        <f aca="false">F542/2</f>
        <v>10896</v>
      </c>
      <c r="F542" s="16" t="n">
        <v>21792</v>
      </c>
      <c r="G542" s="15" t="s">
        <v>36</v>
      </c>
      <c r="H542" s="17" t="s">
        <v>25</v>
      </c>
      <c r="I542" s="18" t="s">
        <v>26</v>
      </c>
      <c r="J542" s="15" t="n">
        <v>2025</v>
      </c>
      <c r="K542" s="19" t="s">
        <v>27</v>
      </c>
      <c r="L542" s="15" t="s">
        <v>28</v>
      </c>
      <c r="M542" s="15" t="s">
        <v>33</v>
      </c>
      <c r="N542" s="17"/>
      <c r="O542" s="15"/>
      <c r="P542" s="15"/>
      <c r="Q542" s="21"/>
      <c r="R542" s="21"/>
      <c r="S542" s="21"/>
      <c r="T542" s="28"/>
      <c r="U542" s="24"/>
    </row>
    <row r="543" s="25" customFormat="true" ht="41.4" hidden="false" customHeight="false" outlineLevel="0" collapsed="false">
      <c r="A543" s="36" t="s">
        <v>1356</v>
      </c>
      <c r="B543" s="26" t="s">
        <v>1357</v>
      </c>
      <c r="C543" s="14" t="s">
        <v>246</v>
      </c>
      <c r="D543" s="15" t="n">
        <v>12</v>
      </c>
      <c r="E543" s="27" t="n">
        <f aca="false">F543/2</f>
        <v>25640</v>
      </c>
      <c r="F543" s="38" t="n">
        <v>51280</v>
      </c>
      <c r="G543" s="15" t="s">
        <v>36</v>
      </c>
      <c r="H543" s="17" t="s">
        <v>25</v>
      </c>
      <c r="I543" s="18" t="s">
        <v>26</v>
      </c>
      <c r="J543" s="15" t="n">
        <v>2017</v>
      </c>
      <c r="K543" s="19" t="s">
        <v>27</v>
      </c>
      <c r="L543" s="15" t="s">
        <v>28</v>
      </c>
      <c r="M543" s="15" t="s">
        <v>33</v>
      </c>
      <c r="N543" s="20" t="s">
        <v>87</v>
      </c>
      <c r="O543" s="15"/>
      <c r="P543" s="15"/>
      <c r="Q543" s="21" t="s">
        <v>247</v>
      </c>
      <c r="R543" s="21"/>
      <c r="S543" s="21"/>
      <c r="T543" s="31" t="n">
        <v>45882</v>
      </c>
      <c r="U543" s="24" t="s">
        <v>248</v>
      </c>
    </row>
    <row r="544" s="25" customFormat="true" ht="41.4" hidden="false" customHeight="false" outlineLevel="0" collapsed="false">
      <c r="A544" s="36" t="s">
        <v>1358</v>
      </c>
      <c r="B544" s="26" t="s">
        <v>1359</v>
      </c>
      <c r="C544" s="14" t="s">
        <v>148</v>
      </c>
      <c r="D544" s="15" t="n">
        <v>6</v>
      </c>
      <c r="E544" s="27" t="n">
        <f aca="false">F544/2</f>
        <v>2831</v>
      </c>
      <c r="F544" s="35" t="n">
        <f aca="false">FLOOR(4719*1.2,1)</f>
        <v>5662</v>
      </c>
      <c r="G544" s="15" t="s">
        <v>36</v>
      </c>
      <c r="H544" s="17" t="s">
        <v>25</v>
      </c>
      <c r="I544" s="18" t="s">
        <v>26</v>
      </c>
      <c r="J544" s="15" t="n">
        <v>2020</v>
      </c>
      <c r="K544" s="19" t="s">
        <v>27</v>
      </c>
      <c r="L544" s="15" t="s">
        <v>28</v>
      </c>
      <c r="M544" s="15" t="s">
        <v>33</v>
      </c>
      <c r="N544" s="17" t="s">
        <v>83</v>
      </c>
      <c r="O544" s="15"/>
      <c r="P544" s="15"/>
      <c r="Q544" s="21"/>
      <c r="R544" s="21"/>
      <c r="S544" s="21"/>
      <c r="T544" s="31" t="n">
        <v>45882</v>
      </c>
      <c r="U544" s="34"/>
    </row>
    <row r="545" s="25" customFormat="true" ht="41.4" hidden="false" customHeight="false" outlineLevel="0" collapsed="false">
      <c r="A545" s="36" t="s">
        <v>1360</v>
      </c>
      <c r="B545" s="26" t="s">
        <v>1361</v>
      </c>
      <c r="C545" s="14" t="s">
        <v>246</v>
      </c>
      <c r="D545" s="15" t="n">
        <v>6</v>
      </c>
      <c r="E545" s="27" t="n">
        <f aca="false">F545/2</f>
        <v>11978.5</v>
      </c>
      <c r="F545" s="38" t="n">
        <v>23957</v>
      </c>
      <c r="G545" s="15" t="s">
        <v>36</v>
      </c>
      <c r="H545" s="17" t="s">
        <v>25</v>
      </c>
      <c r="I545" s="18" t="s">
        <v>26</v>
      </c>
      <c r="J545" s="15" t="n">
        <v>2017</v>
      </c>
      <c r="K545" s="19" t="s">
        <v>27</v>
      </c>
      <c r="L545" s="15" t="s">
        <v>28</v>
      </c>
      <c r="M545" s="15" t="s">
        <v>33</v>
      </c>
      <c r="N545" s="17" t="s">
        <v>83</v>
      </c>
      <c r="O545" s="15"/>
      <c r="P545" s="15"/>
      <c r="Q545" s="21" t="s">
        <v>247</v>
      </c>
      <c r="R545" s="21"/>
      <c r="S545" s="21"/>
      <c r="T545" s="31" t="n">
        <v>45882</v>
      </c>
      <c r="U545" s="24" t="s">
        <v>248</v>
      </c>
    </row>
    <row r="546" s="25" customFormat="true" ht="41.4" hidden="false" customHeight="false" outlineLevel="0" collapsed="false">
      <c r="A546" s="36" t="s">
        <v>1362</v>
      </c>
      <c r="B546" s="26" t="s">
        <v>1363</v>
      </c>
      <c r="C546" s="14" t="s">
        <v>246</v>
      </c>
      <c r="D546" s="15" t="n">
        <v>12</v>
      </c>
      <c r="E546" s="27" t="n">
        <f aca="false">F546/2</f>
        <v>20528</v>
      </c>
      <c r="F546" s="38" t="n">
        <v>41056</v>
      </c>
      <c r="G546" s="15" t="s">
        <v>36</v>
      </c>
      <c r="H546" s="17" t="s">
        <v>25</v>
      </c>
      <c r="I546" s="18" t="s">
        <v>26</v>
      </c>
      <c r="J546" s="15" t="n">
        <v>2017</v>
      </c>
      <c r="K546" s="19" t="s">
        <v>27</v>
      </c>
      <c r="L546" s="15" t="s">
        <v>28</v>
      </c>
      <c r="M546" s="15" t="s">
        <v>33</v>
      </c>
      <c r="N546" s="20" t="s">
        <v>671</v>
      </c>
      <c r="O546" s="15"/>
      <c r="P546" s="15"/>
      <c r="Q546" s="21" t="s">
        <v>247</v>
      </c>
      <c r="R546" s="21"/>
      <c r="S546" s="21"/>
      <c r="T546" s="31" t="n">
        <v>45882</v>
      </c>
      <c r="U546" s="24" t="s">
        <v>248</v>
      </c>
    </row>
    <row r="547" s="25" customFormat="true" ht="41.4" hidden="false" customHeight="false" outlineLevel="0" collapsed="false">
      <c r="A547" s="36" t="s">
        <v>1364</v>
      </c>
      <c r="B547" s="26" t="s">
        <v>1365</v>
      </c>
      <c r="C547" s="14" t="s">
        <v>1141</v>
      </c>
      <c r="D547" s="15" t="n">
        <v>4</v>
      </c>
      <c r="E547" s="27" t="n">
        <f aca="false">F547/2</f>
        <v>250</v>
      </c>
      <c r="F547" s="16" t="n">
        <v>500</v>
      </c>
      <c r="G547" s="15" t="s">
        <v>36</v>
      </c>
      <c r="H547" s="17" t="s">
        <v>25</v>
      </c>
      <c r="I547" s="18" t="s">
        <v>26</v>
      </c>
      <c r="J547" s="15" t="n">
        <v>2016</v>
      </c>
      <c r="K547" s="19" t="s">
        <v>27</v>
      </c>
      <c r="L547" s="15" t="s">
        <v>28</v>
      </c>
      <c r="M547" s="15" t="s">
        <v>33</v>
      </c>
      <c r="N547" s="17" t="s">
        <v>83</v>
      </c>
      <c r="O547" s="15"/>
      <c r="P547" s="15"/>
      <c r="Q547" s="21" t="s">
        <v>302</v>
      </c>
      <c r="R547" s="21"/>
      <c r="S547" s="21"/>
      <c r="T547" s="28"/>
      <c r="U547" s="24"/>
    </row>
    <row r="548" s="25" customFormat="true" ht="41.4" hidden="false" customHeight="false" outlineLevel="0" collapsed="false">
      <c r="A548" s="36" t="s">
        <v>1366</v>
      </c>
      <c r="B548" s="26" t="s">
        <v>1367</v>
      </c>
      <c r="C548" s="14" t="s">
        <v>401</v>
      </c>
      <c r="D548" s="15" t="n">
        <v>6</v>
      </c>
      <c r="E548" s="27" t="n">
        <f aca="false">F548/2</f>
        <v>6600</v>
      </c>
      <c r="F548" s="16" t="n">
        <v>13200</v>
      </c>
      <c r="G548" s="15" t="s">
        <v>36</v>
      </c>
      <c r="H548" s="17" t="s">
        <v>25</v>
      </c>
      <c r="I548" s="18" t="s">
        <v>26</v>
      </c>
      <c r="J548" s="15" t="n">
        <v>2018</v>
      </c>
      <c r="K548" s="19" t="s">
        <v>27</v>
      </c>
      <c r="L548" s="15" t="s">
        <v>28</v>
      </c>
      <c r="M548" s="15" t="s">
        <v>33</v>
      </c>
      <c r="N548" s="17" t="s">
        <v>72</v>
      </c>
      <c r="O548" s="15"/>
      <c r="P548" s="15"/>
      <c r="Q548" s="21" t="s">
        <v>78</v>
      </c>
      <c r="R548" s="21"/>
      <c r="S548" s="21"/>
      <c r="T548" s="28"/>
      <c r="U548" s="24"/>
    </row>
    <row r="549" s="25" customFormat="true" ht="41.4" hidden="false" customHeight="false" outlineLevel="0" collapsed="false">
      <c r="A549" s="36" t="s">
        <v>1368</v>
      </c>
      <c r="B549" s="26"/>
      <c r="C549" s="14" t="s">
        <v>401</v>
      </c>
      <c r="D549" s="15" t="n">
        <v>6</v>
      </c>
      <c r="E549" s="27" t="n">
        <f aca="false">F549/2</f>
        <v>3000</v>
      </c>
      <c r="F549" s="16" t="n">
        <v>6000</v>
      </c>
      <c r="G549" s="15" t="s">
        <v>36</v>
      </c>
      <c r="H549" s="17" t="s">
        <v>25</v>
      </c>
      <c r="I549" s="18" t="s">
        <v>26</v>
      </c>
      <c r="J549" s="15" t="n">
        <v>2024</v>
      </c>
      <c r="K549" s="19" t="s">
        <v>27</v>
      </c>
      <c r="L549" s="15" t="s">
        <v>28</v>
      </c>
      <c r="M549" s="15" t="s">
        <v>33</v>
      </c>
      <c r="N549" s="17"/>
      <c r="O549" s="15"/>
      <c r="P549" s="15"/>
      <c r="Q549" s="21"/>
      <c r="R549" s="21"/>
      <c r="S549" s="21"/>
      <c r="T549" s="28"/>
      <c r="U549" s="24"/>
    </row>
    <row r="550" s="25" customFormat="true" ht="41.4" hidden="false" customHeight="false" outlineLevel="0" collapsed="false">
      <c r="A550" s="36" t="s">
        <v>1369</v>
      </c>
      <c r="B550" s="26" t="s">
        <v>1370</v>
      </c>
      <c r="C550" s="14" t="s">
        <v>148</v>
      </c>
      <c r="D550" s="15" t="n">
        <v>12</v>
      </c>
      <c r="E550" s="27" t="n">
        <f aca="false">F550/2</f>
        <v>5405</v>
      </c>
      <c r="F550" s="35" t="n">
        <f aca="false">FLOOR(9009*1.2,1)</f>
        <v>10810</v>
      </c>
      <c r="G550" s="15" t="s">
        <v>36</v>
      </c>
      <c r="H550" s="17" t="s">
        <v>25</v>
      </c>
      <c r="I550" s="18" t="s">
        <v>26</v>
      </c>
      <c r="J550" s="15" t="n">
        <v>2020</v>
      </c>
      <c r="K550" s="19" t="s">
        <v>27</v>
      </c>
      <c r="L550" s="15" t="s">
        <v>28</v>
      </c>
      <c r="M550" s="15" t="s">
        <v>33</v>
      </c>
      <c r="N550" s="17" t="s">
        <v>83</v>
      </c>
      <c r="O550" s="15"/>
      <c r="P550" s="15"/>
      <c r="Q550" s="21"/>
      <c r="R550" s="21"/>
      <c r="S550" s="21"/>
      <c r="T550" s="31" t="n">
        <v>45882</v>
      </c>
      <c r="U550" s="34"/>
    </row>
    <row r="551" s="25" customFormat="true" ht="41.4" hidden="false" customHeight="false" outlineLevel="0" collapsed="false">
      <c r="A551" s="36" t="s">
        <v>1371</v>
      </c>
      <c r="B551" s="26" t="s">
        <v>1372</v>
      </c>
      <c r="C551" s="14" t="s">
        <v>246</v>
      </c>
      <c r="D551" s="15" t="n">
        <v>12</v>
      </c>
      <c r="E551" s="27" t="n">
        <f aca="false">F551/2</f>
        <v>16139</v>
      </c>
      <c r="F551" s="38" t="n">
        <v>32278</v>
      </c>
      <c r="G551" s="15" t="s">
        <v>36</v>
      </c>
      <c r="H551" s="17" t="s">
        <v>25</v>
      </c>
      <c r="I551" s="18" t="s">
        <v>26</v>
      </c>
      <c r="J551" s="15" t="n">
        <v>2017</v>
      </c>
      <c r="K551" s="19" t="s">
        <v>27</v>
      </c>
      <c r="L551" s="15" t="s">
        <v>28</v>
      </c>
      <c r="M551" s="15" t="s">
        <v>33</v>
      </c>
      <c r="N551" s="20" t="s">
        <v>87</v>
      </c>
      <c r="O551" s="15"/>
      <c r="P551" s="15"/>
      <c r="Q551" s="21" t="s">
        <v>247</v>
      </c>
      <c r="R551" s="21"/>
      <c r="S551" s="21"/>
      <c r="T551" s="31" t="n">
        <v>45882</v>
      </c>
      <c r="U551" s="24" t="s">
        <v>248</v>
      </c>
    </row>
    <row r="552" s="25" customFormat="true" ht="41.4" hidden="false" customHeight="false" outlineLevel="0" collapsed="false">
      <c r="A552" s="36" t="s">
        <v>1373</v>
      </c>
      <c r="B552" s="26" t="s">
        <v>1374</v>
      </c>
      <c r="C552" s="14" t="s">
        <v>246</v>
      </c>
      <c r="D552" s="15" t="n">
        <v>6</v>
      </c>
      <c r="E552" s="27"/>
      <c r="F552" s="38" t="n">
        <v>25640</v>
      </c>
      <c r="G552" s="15" t="s">
        <v>36</v>
      </c>
      <c r="H552" s="17" t="s">
        <v>25</v>
      </c>
      <c r="I552" s="18" t="s">
        <v>26</v>
      </c>
      <c r="J552" s="15" t="n">
        <v>2017</v>
      </c>
      <c r="K552" s="19" t="s">
        <v>27</v>
      </c>
      <c r="L552" s="15" t="s">
        <v>28</v>
      </c>
      <c r="M552" s="15" t="s">
        <v>33</v>
      </c>
      <c r="N552" s="20" t="s">
        <v>66</v>
      </c>
      <c r="O552" s="15"/>
      <c r="P552" s="15"/>
      <c r="Q552" s="21" t="s">
        <v>247</v>
      </c>
      <c r="R552" s="21"/>
      <c r="S552" s="21"/>
      <c r="T552" s="31" t="n">
        <v>45882</v>
      </c>
      <c r="U552" s="24" t="s">
        <v>248</v>
      </c>
    </row>
    <row r="553" s="25" customFormat="true" ht="41.4" hidden="false" customHeight="false" outlineLevel="0" collapsed="false">
      <c r="A553" s="36" t="s">
        <v>1375</v>
      </c>
      <c r="B553" s="26" t="s">
        <v>1376</v>
      </c>
      <c r="C553" s="14" t="s">
        <v>246</v>
      </c>
      <c r="D553" s="15" t="n">
        <v>12</v>
      </c>
      <c r="E553" s="27" t="n">
        <f aca="false">F553/2</f>
        <v>25176</v>
      </c>
      <c r="F553" s="38" t="n">
        <v>50352</v>
      </c>
      <c r="G553" s="15" t="s">
        <v>36</v>
      </c>
      <c r="H553" s="17" t="s">
        <v>25</v>
      </c>
      <c r="I553" s="18" t="s">
        <v>26</v>
      </c>
      <c r="J553" s="15" t="n">
        <v>2017</v>
      </c>
      <c r="K553" s="19" t="s">
        <v>27</v>
      </c>
      <c r="L553" s="15" t="s">
        <v>28</v>
      </c>
      <c r="M553" s="15" t="s">
        <v>33</v>
      </c>
      <c r="N553" s="20" t="s">
        <v>87</v>
      </c>
      <c r="O553" s="15"/>
      <c r="P553" s="15"/>
      <c r="Q553" s="21" t="s">
        <v>247</v>
      </c>
      <c r="R553" s="21"/>
      <c r="S553" s="21"/>
      <c r="T553" s="31" t="n">
        <v>45882</v>
      </c>
      <c r="U553" s="24" t="s">
        <v>248</v>
      </c>
    </row>
    <row r="554" s="25" customFormat="true" ht="41.4" hidden="false" customHeight="false" outlineLevel="0" collapsed="false">
      <c r="A554" s="36" t="s">
        <v>1377</v>
      </c>
      <c r="B554" s="26" t="s">
        <v>1378</v>
      </c>
      <c r="C554" s="14" t="s">
        <v>246</v>
      </c>
      <c r="D554" s="15" t="n">
        <v>12</v>
      </c>
      <c r="E554" s="27" t="n">
        <f aca="false">F554/2</f>
        <v>25176</v>
      </c>
      <c r="F554" s="38" t="n">
        <v>50352</v>
      </c>
      <c r="G554" s="15" t="s">
        <v>36</v>
      </c>
      <c r="H554" s="17" t="s">
        <v>25</v>
      </c>
      <c r="I554" s="18" t="s">
        <v>26</v>
      </c>
      <c r="J554" s="15" t="n">
        <v>2017</v>
      </c>
      <c r="K554" s="19" t="s">
        <v>27</v>
      </c>
      <c r="L554" s="15" t="s">
        <v>28</v>
      </c>
      <c r="M554" s="15" t="s">
        <v>33</v>
      </c>
      <c r="N554" s="20" t="s">
        <v>87</v>
      </c>
      <c r="O554" s="15"/>
      <c r="P554" s="15"/>
      <c r="Q554" s="21" t="s">
        <v>247</v>
      </c>
      <c r="R554" s="21"/>
      <c r="S554" s="21"/>
      <c r="T554" s="31" t="n">
        <v>45882</v>
      </c>
      <c r="U554" s="24" t="s">
        <v>248</v>
      </c>
    </row>
    <row r="555" s="25" customFormat="true" ht="41.4" hidden="false" customHeight="false" outlineLevel="0" collapsed="false">
      <c r="A555" s="36" t="s">
        <v>1379</v>
      </c>
      <c r="B555" s="26"/>
      <c r="C555" s="14" t="s">
        <v>401</v>
      </c>
      <c r="D555" s="15" t="n">
        <v>6</v>
      </c>
      <c r="E555" s="27" t="n">
        <f aca="false">F555/2</f>
        <v>3000</v>
      </c>
      <c r="F555" s="16" t="n">
        <v>6000</v>
      </c>
      <c r="G555" s="15" t="s">
        <v>36</v>
      </c>
      <c r="H555" s="17" t="s">
        <v>25</v>
      </c>
      <c r="I555" s="18" t="s">
        <v>26</v>
      </c>
      <c r="J555" s="15" t="n">
        <v>2024</v>
      </c>
      <c r="K555" s="19" t="s">
        <v>27</v>
      </c>
      <c r="L555" s="15" t="s">
        <v>28</v>
      </c>
      <c r="M555" s="15" t="s">
        <v>33</v>
      </c>
      <c r="N555" s="17"/>
      <c r="O555" s="15"/>
      <c r="P555" s="15"/>
      <c r="Q555" s="21"/>
      <c r="R555" s="21"/>
      <c r="S555" s="21"/>
      <c r="T555" s="28"/>
      <c r="U555" s="24"/>
    </row>
    <row r="556" s="25" customFormat="true" ht="41.4" hidden="false" customHeight="false" outlineLevel="0" collapsed="false">
      <c r="A556" s="36" t="s">
        <v>1380</v>
      </c>
      <c r="B556" s="26"/>
      <c r="C556" s="14" t="s">
        <v>401</v>
      </c>
      <c r="D556" s="15" t="n">
        <v>4</v>
      </c>
      <c r="E556" s="27" t="n">
        <f aca="false">F556/2</f>
        <v>2000</v>
      </c>
      <c r="F556" s="16" t="n">
        <v>4000</v>
      </c>
      <c r="G556" s="15" t="s">
        <v>36</v>
      </c>
      <c r="H556" s="17" t="s">
        <v>25</v>
      </c>
      <c r="I556" s="18" t="s">
        <v>26</v>
      </c>
      <c r="J556" s="15" t="n">
        <v>2024</v>
      </c>
      <c r="K556" s="19" t="s">
        <v>27</v>
      </c>
      <c r="L556" s="15" t="s">
        <v>28</v>
      </c>
      <c r="M556" s="15" t="s">
        <v>33</v>
      </c>
      <c r="N556" s="17"/>
      <c r="O556" s="15"/>
      <c r="P556" s="15"/>
      <c r="Q556" s="21"/>
      <c r="R556" s="21"/>
      <c r="S556" s="21"/>
      <c r="T556" s="28"/>
      <c r="U556" s="24"/>
    </row>
    <row r="557" s="25" customFormat="true" ht="41.4" hidden="false" customHeight="false" outlineLevel="0" collapsed="false">
      <c r="A557" s="36" t="s">
        <v>1381</v>
      </c>
      <c r="B557" s="26"/>
      <c r="C557" s="14" t="s">
        <v>1382</v>
      </c>
      <c r="D557" s="15" t="n">
        <v>4</v>
      </c>
      <c r="E557" s="27" t="n">
        <f aca="false">F557/2</f>
        <v>720</v>
      </c>
      <c r="F557" s="16" t="n">
        <f aca="false">4*300*1.2</f>
        <v>1440</v>
      </c>
      <c r="G557" s="15" t="s">
        <v>36</v>
      </c>
      <c r="H557" s="17" t="s">
        <v>25</v>
      </c>
      <c r="I557" s="18" t="s">
        <v>26</v>
      </c>
      <c r="J557" s="15" t="n">
        <v>2023</v>
      </c>
      <c r="K557" s="19" t="s">
        <v>27</v>
      </c>
      <c r="L557" s="15" t="s">
        <v>28</v>
      </c>
      <c r="M557" s="15" t="s">
        <v>33</v>
      </c>
      <c r="N557" s="17" t="s">
        <v>72</v>
      </c>
      <c r="O557" s="15" t="s">
        <v>203</v>
      </c>
      <c r="P557" s="15"/>
      <c r="Q557" s="21"/>
      <c r="R557" s="21"/>
      <c r="S557" s="21"/>
      <c r="T557" s="28"/>
      <c r="U557" s="24"/>
    </row>
    <row r="558" s="25" customFormat="true" ht="41.4" hidden="false" customHeight="false" outlineLevel="0" collapsed="false">
      <c r="A558" s="36" t="s">
        <v>1383</v>
      </c>
      <c r="B558" s="26" t="s">
        <v>1384</v>
      </c>
      <c r="C558" s="14" t="s">
        <v>1385</v>
      </c>
      <c r="D558" s="15" t="n">
        <v>6</v>
      </c>
      <c r="E558" s="27" t="n">
        <f aca="false">F558/2</f>
        <v>14200</v>
      </c>
      <c r="F558" s="16" t="n">
        <v>28400</v>
      </c>
      <c r="G558" s="15" t="s">
        <v>24</v>
      </c>
      <c r="H558" s="17" t="s">
        <v>25</v>
      </c>
      <c r="I558" s="18" t="s">
        <v>26</v>
      </c>
      <c r="J558" s="15"/>
      <c r="K558" s="19" t="s">
        <v>1325</v>
      </c>
      <c r="L558" s="15" t="s">
        <v>28</v>
      </c>
      <c r="M558" s="15" t="s">
        <v>33</v>
      </c>
      <c r="N558" s="17" t="s">
        <v>153</v>
      </c>
      <c r="O558" s="15"/>
      <c r="P558" s="15"/>
      <c r="Q558" s="21" t="s">
        <v>78</v>
      </c>
      <c r="R558" s="21"/>
      <c r="S558" s="21"/>
      <c r="T558" s="31" t="n">
        <v>45893</v>
      </c>
      <c r="U558" s="24"/>
    </row>
    <row r="559" s="25" customFormat="true" ht="41.4" hidden="false" customHeight="false" outlineLevel="0" collapsed="false">
      <c r="A559" s="36" t="s">
        <v>1386</v>
      </c>
      <c r="B559" s="26" t="s">
        <v>1387</v>
      </c>
      <c r="C559" s="14" t="s">
        <v>246</v>
      </c>
      <c r="D559" s="15" t="n">
        <v>12</v>
      </c>
      <c r="E559" s="27" t="n">
        <f aca="false">F559/2</f>
        <v>25176</v>
      </c>
      <c r="F559" s="38" t="n">
        <v>50352</v>
      </c>
      <c r="G559" s="15" t="s">
        <v>36</v>
      </c>
      <c r="H559" s="17" t="s">
        <v>25</v>
      </c>
      <c r="I559" s="18" t="s">
        <v>26</v>
      </c>
      <c r="J559" s="15" t="n">
        <v>2017</v>
      </c>
      <c r="K559" s="19" t="s">
        <v>27</v>
      </c>
      <c r="L559" s="15" t="s">
        <v>28</v>
      </c>
      <c r="M559" s="15" t="s">
        <v>33</v>
      </c>
      <c r="N559" s="20" t="s">
        <v>87</v>
      </c>
      <c r="O559" s="15"/>
      <c r="P559" s="15"/>
      <c r="Q559" s="21" t="s">
        <v>247</v>
      </c>
      <c r="R559" s="21"/>
      <c r="S559" s="21"/>
      <c r="T559" s="31" t="n">
        <v>45882</v>
      </c>
      <c r="U559" s="24" t="s">
        <v>248</v>
      </c>
    </row>
    <row r="560" s="25" customFormat="true" ht="41.4" hidden="false" customHeight="false" outlineLevel="0" collapsed="false">
      <c r="A560" s="36" t="s">
        <v>1388</v>
      </c>
      <c r="B560" s="26" t="s">
        <v>1389</v>
      </c>
      <c r="C560" s="14" t="s">
        <v>401</v>
      </c>
      <c r="D560" s="15" t="n">
        <v>12</v>
      </c>
      <c r="E560" s="27" t="n">
        <f aca="false">F560/2</f>
        <v>7800</v>
      </c>
      <c r="F560" s="16" t="n">
        <v>15600</v>
      </c>
      <c r="G560" s="15" t="s">
        <v>36</v>
      </c>
      <c r="H560" s="17" t="s">
        <v>25</v>
      </c>
      <c r="I560" s="18" t="s">
        <v>26</v>
      </c>
      <c r="J560" s="15" t="n">
        <v>2018</v>
      </c>
      <c r="K560" s="19" t="s">
        <v>27</v>
      </c>
      <c r="L560" s="15" t="s">
        <v>28</v>
      </c>
      <c r="M560" s="15" t="s">
        <v>33</v>
      </c>
      <c r="N560" s="17" t="s">
        <v>72</v>
      </c>
      <c r="O560" s="15"/>
      <c r="P560" s="15"/>
      <c r="Q560" s="21" t="s">
        <v>78</v>
      </c>
      <c r="R560" s="21"/>
      <c r="S560" s="21"/>
      <c r="T560" s="28"/>
      <c r="U560" s="24"/>
    </row>
    <row r="561" s="25" customFormat="true" ht="41.4" hidden="false" customHeight="false" outlineLevel="0" collapsed="false">
      <c r="A561" s="36" t="s">
        <v>1390</v>
      </c>
      <c r="B561" s="26"/>
      <c r="C561" s="14" t="s">
        <v>426</v>
      </c>
      <c r="D561" s="15" t="n">
        <v>4</v>
      </c>
      <c r="E561" s="27" t="n">
        <f aca="false">F561/2</f>
        <v>50</v>
      </c>
      <c r="F561" s="16" t="n">
        <v>100</v>
      </c>
      <c r="G561" s="15" t="s">
        <v>36</v>
      </c>
      <c r="H561" s="17" t="s">
        <v>25</v>
      </c>
      <c r="I561" s="18" t="s">
        <v>26</v>
      </c>
      <c r="J561" s="15" t="n">
        <v>2025</v>
      </c>
      <c r="K561" s="19" t="s">
        <v>427</v>
      </c>
      <c r="L561" s="15" t="s">
        <v>28</v>
      </c>
      <c r="M561" s="15" t="s">
        <v>33</v>
      </c>
      <c r="N561" s="17"/>
      <c r="O561" s="15"/>
      <c r="P561" s="15"/>
      <c r="Q561" s="21" t="s">
        <v>78</v>
      </c>
      <c r="R561" s="21"/>
      <c r="S561" s="21"/>
      <c r="T561" s="28"/>
      <c r="U561" s="24"/>
    </row>
    <row r="562" s="25" customFormat="true" ht="57" hidden="false" customHeight="false" outlineLevel="0" collapsed="false">
      <c r="A562" s="36" t="s">
        <v>1391</v>
      </c>
      <c r="B562" s="26" t="s">
        <v>1392</v>
      </c>
      <c r="C562" s="14" t="s">
        <v>1393</v>
      </c>
      <c r="D562" s="15" t="n">
        <v>12</v>
      </c>
      <c r="E562" s="27" t="n">
        <f aca="false">F562/2</f>
        <v>9000</v>
      </c>
      <c r="F562" s="16" t="n">
        <v>18000</v>
      </c>
      <c r="G562" s="15" t="s">
        <v>24</v>
      </c>
      <c r="H562" s="17" t="s">
        <v>25</v>
      </c>
      <c r="I562" s="18" t="s">
        <v>26</v>
      </c>
      <c r="J562" s="15" t="n">
        <v>2006</v>
      </c>
      <c r="K562" s="19" t="s">
        <v>59</v>
      </c>
      <c r="L562" s="15" t="s">
        <v>28</v>
      </c>
      <c r="M562" s="15" t="s">
        <v>33</v>
      </c>
      <c r="N562" s="17" t="s">
        <v>87</v>
      </c>
      <c r="O562" s="15"/>
      <c r="P562" s="15"/>
      <c r="Q562" s="21" t="s">
        <v>253</v>
      </c>
      <c r="R562" s="21"/>
      <c r="S562" s="21"/>
      <c r="T562" s="28"/>
      <c r="U562" s="24" t="s">
        <v>1394</v>
      </c>
    </row>
    <row r="563" s="25" customFormat="true" ht="41.4" hidden="false" customHeight="false" outlineLevel="0" collapsed="false">
      <c r="A563" s="36" t="s">
        <v>1395</v>
      </c>
      <c r="B563" s="26" t="s">
        <v>1396</v>
      </c>
      <c r="C563" s="14" t="s">
        <v>155</v>
      </c>
      <c r="D563" s="15" t="n">
        <v>12</v>
      </c>
      <c r="E563" s="27" t="n">
        <f aca="false">F563/2</f>
        <v>9315</v>
      </c>
      <c r="F563" s="52" t="n">
        <v>18630</v>
      </c>
      <c r="G563" s="15" t="s">
        <v>36</v>
      </c>
      <c r="H563" s="17" t="s">
        <v>25</v>
      </c>
      <c r="I563" s="18" t="s">
        <v>26</v>
      </c>
      <c r="J563" s="15" t="n">
        <v>2017</v>
      </c>
      <c r="K563" s="19" t="s">
        <v>65</v>
      </c>
      <c r="L563" s="15" t="s">
        <v>28</v>
      </c>
      <c r="M563" s="15" t="s">
        <v>33</v>
      </c>
      <c r="N563" s="17" t="s">
        <v>153</v>
      </c>
      <c r="O563" s="15"/>
      <c r="P563" s="15"/>
      <c r="Q563" s="21" t="s">
        <v>78</v>
      </c>
      <c r="R563" s="21"/>
      <c r="S563" s="21"/>
      <c r="T563" s="28"/>
      <c r="U563" s="24"/>
    </row>
    <row r="564" s="25" customFormat="true" ht="41.4" hidden="false" customHeight="false" outlineLevel="0" collapsed="false">
      <c r="A564" s="36" t="s">
        <v>1397</v>
      </c>
      <c r="B564" s="26" t="s">
        <v>1398</v>
      </c>
      <c r="C564" s="14" t="s">
        <v>246</v>
      </c>
      <c r="D564" s="15" t="n">
        <v>12</v>
      </c>
      <c r="E564" s="27" t="n">
        <f aca="false">F564/2</f>
        <v>25640</v>
      </c>
      <c r="F564" s="38" t="n">
        <v>51280</v>
      </c>
      <c r="G564" s="15" t="s">
        <v>36</v>
      </c>
      <c r="H564" s="17" t="s">
        <v>25</v>
      </c>
      <c r="I564" s="18" t="s">
        <v>26</v>
      </c>
      <c r="J564" s="15" t="n">
        <v>2017</v>
      </c>
      <c r="K564" s="19" t="s">
        <v>27</v>
      </c>
      <c r="L564" s="15" t="s">
        <v>28</v>
      </c>
      <c r="M564" s="15" t="s">
        <v>33</v>
      </c>
      <c r="N564" s="20" t="s">
        <v>87</v>
      </c>
      <c r="O564" s="15"/>
      <c r="P564" s="15"/>
      <c r="Q564" s="21" t="s">
        <v>247</v>
      </c>
      <c r="R564" s="21"/>
      <c r="S564" s="21"/>
      <c r="T564" s="31" t="n">
        <v>45882</v>
      </c>
      <c r="U564" s="24" t="s">
        <v>248</v>
      </c>
    </row>
    <row r="565" s="25" customFormat="true" ht="41.4" hidden="false" customHeight="false" outlineLevel="0" collapsed="false">
      <c r="A565" s="36" t="s">
        <v>1399</v>
      </c>
      <c r="B565" s="26" t="s">
        <v>1400</v>
      </c>
      <c r="C565" s="14" t="s">
        <v>246</v>
      </c>
      <c r="D565" s="15" t="n">
        <v>6</v>
      </c>
      <c r="E565" s="27" t="n">
        <f aca="false">F565/2</f>
        <v>13426</v>
      </c>
      <c r="F565" s="38" t="n">
        <v>26852</v>
      </c>
      <c r="G565" s="15" t="s">
        <v>36</v>
      </c>
      <c r="H565" s="17" t="s">
        <v>25</v>
      </c>
      <c r="I565" s="18" t="s">
        <v>26</v>
      </c>
      <c r="J565" s="15" t="n">
        <v>2017</v>
      </c>
      <c r="K565" s="19" t="s">
        <v>27</v>
      </c>
      <c r="L565" s="15" t="s">
        <v>28</v>
      </c>
      <c r="M565" s="15" t="s">
        <v>33</v>
      </c>
      <c r="N565" s="20" t="s">
        <v>83</v>
      </c>
      <c r="O565" s="15"/>
      <c r="P565" s="15"/>
      <c r="Q565" s="21" t="s">
        <v>247</v>
      </c>
      <c r="R565" s="21"/>
      <c r="S565" s="21"/>
      <c r="T565" s="31" t="n">
        <v>45882</v>
      </c>
      <c r="U565" s="24" t="s">
        <v>248</v>
      </c>
    </row>
    <row r="566" s="25" customFormat="true" ht="41.4" hidden="false" customHeight="false" outlineLevel="0" collapsed="false">
      <c r="A566" s="36" t="s">
        <v>1401</v>
      </c>
      <c r="B566" s="26" t="s">
        <v>1402</v>
      </c>
      <c r="C566" s="14" t="s">
        <v>246</v>
      </c>
      <c r="D566" s="15" t="n">
        <v>12</v>
      </c>
      <c r="E566" s="27" t="n">
        <f aca="false">F566/2</f>
        <v>26057</v>
      </c>
      <c r="F566" s="38" t="n">
        <v>52114</v>
      </c>
      <c r="G566" s="15" t="s">
        <v>36</v>
      </c>
      <c r="H566" s="17" t="s">
        <v>25</v>
      </c>
      <c r="I566" s="18" t="s">
        <v>26</v>
      </c>
      <c r="J566" s="15" t="n">
        <v>2017</v>
      </c>
      <c r="K566" s="19" t="s">
        <v>27</v>
      </c>
      <c r="L566" s="15" t="s">
        <v>28</v>
      </c>
      <c r="M566" s="15" t="s">
        <v>33</v>
      </c>
      <c r="N566" s="20" t="s">
        <v>153</v>
      </c>
      <c r="O566" s="15"/>
      <c r="P566" s="15"/>
      <c r="Q566" s="21" t="s">
        <v>247</v>
      </c>
      <c r="R566" s="21"/>
      <c r="S566" s="21"/>
      <c r="T566" s="31" t="n">
        <v>45882</v>
      </c>
      <c r="U566" s="24" t="s">
        <v>248</v>
      </c>
    </row>
    <row r="567" s="25" customFormat="true" ht="41.4" hidden="false" customHeight="false" outlineLevel="0" collapsed="false">
      <c r="A567" s="36" t="s">
        <v>1403</v>
      </c>
      <c r="B567" s="26"/>
      <c r="C567" s="14" t="s">
        <v>401</v>
      </c>
      <c r="D567" s="15" t="n">
        <v>4</v>
      </c>
      <c r="E567" s="27" t="n">
        <f aca="false">F567/2</f>
        <v>2000</v>
      </c>
      <c r="F567" s="16" t="n">
        <v>4000</v>
      </c>
      <c r="G567" s="15" t="s">
        <v>36</v>
      </c>
      <c r="H567" s="17" t="s">
        <v>25</v>
      </c>
      <c r="I567" s="18" t="s">
        <v>26</v>
      </c>
      <c r="J567" s="15" t="n">
        <v>2024</v>
      </c>
      <c r="K567" s="19" t="s">
        <v>27</v>
      </c>
      <c r="L567" s="15" t="s">
        <v>28</v>
      </c>
      <c r="M567" s="15" t="s">
        <v>33</v>
      </c>
      <c r="N567" s="17"/>
      <c r="O567" s="15"/>
      <c r="P567" s="15"/>
      <c r="Q567" s="21"/>
      <c r="R567" s="21"/>
      <c r="S567" s="21"/>
      <c r="T567" s="28"/>
      <c r="U567" s="24"/>
    </row>
    <row r="568" s="25" customFormat="true" ht="57" hidden="false" customHeight="false" outlineLevel="0" collapsed="false">
      <c r="A568" s="36" t="s">
        <v>1404</v>
      </c>
      <c r="B568" s="26" t="s">
        <v>1405</v>
      </c>
      <c r="C568" s="14" t="s">
        <v>1406</v>
      </c>
      <c r="D568" s="15" t="n">
        <v>4</v>
      </c>
      <c r="E568" s="27" t="n">
        <f aca="false">4440/2</f>
        <v>2220</v>
      </c>
      <c r="F568" s="16" t="n">
        <v>4440</v>
      </c>
      <c r="G568" s="15" t="s">
        <v>24</v>
      </c>
      <c r="H568" s="17" t="s">
        <v>25</v>
      </c>
      <c r="I568" s="18" t="s">
        <v>26</v>
      </c>
      <c r="J568" s="15" t="n">
        <v>2012</v>
      </c>
      <c r="K568" s="19" t="s">
        <v>27</v>
      </c>
      <c r="L568" s="15" t="s">
        <v>28</v>
      </c>
      <c r="M568" s="15" t="s">
        <v>33</v>
      </c>
      <c r="N568" s="17" t="s">
        <v>655</v>
      </c>
      <c r="O568" s="15"/>
      <c r="P568" s="15"/>
      <c r="Q568" s="21" t="s">
        <v>78</v>
      </c>
      <c r="R568" s="21"/>
      <c r="S568" s="21"/>
      <c r="T568" s="28"/>
      <c r="U568" s="24" t="s">
        <v>1407</v>
      </c>
    </row>
    <row r="569" s="25" customFormat="true" ht="41.4" hidden="false" customHeight="false" outlineLevel="0" collapsed="false">
      <c r="A569" s="36" t="s">
        <v>1408</v>
      </c>
      <c r="B569" s="26" t="s">
        <v>1409</v>
      </c>
      <c r="C569" s="14" t="s">
        <v>1410</v>
      </c>
      <c r="D569" s="15" t="n">
        <v>12</v>
      </c>
      <c r="E569" s="27" t="n">
        <f aca="false">F569/2</f>
        <v>133875</v>
      </c>
      <c r="F569" s="16" t="n">
        <f aca="false">255000*1.05</f>
        <v>267750</v>
      </c>
      <c r="G569" s="15" t="s">
        <v>24</v>
      </c>
      <c r="H569" s="17" t="s">
        <v>25</v>
      </c>
      <c r="I569" s="18" t="s">
        <v>26</v>
      </c>
      <c r="J569" s="15" t="n">
        <v>2017</v>
      </c>
      <c r="K569" s="19" t="s">
        <v>27</v>
      </c>
      <c r="L569" s="15" t="s">
        <v>28</v>
      </c>
      <c r="M569" s="15" t="s">
        <v>33</v>
      </c>
      <c r="N569" s="17" t="s">
        <v>126</v>
      </c>
      <c r="O569" s="15"/>
      <c r="P569" s="15"/>
      <c r="Q569" s="21" t="s">
        <v>78</v>
      </c>
      <c r="R569" s="21"/>
      <c r="S569" s="21"/>
      <c r="T569" s="31" t="n">
        <v>45846</v>
      </c>
      <c r="U569" s="24"/>
    </row>
    <row r="570" s="25" customFormat="true" ht="41.4" hidden="false" customHeight="false" outlineLevel="0" collapsed="false">
      <c r="A570" s="36" t="s">
        <v>1411</v>
      </c>
      <c r="B570" s="26" t="s">
        <v>1412</v>
      </c>
      <c r="C570" s="14" t="s">
        <v>1413</v>
      </c>
      <c r="D570" s="15" t="n">
        <v>52</v>
      </c>
      <c r="E570" s="27" t="n">
        <f aca="false">F570/2</f>
        <v>1500</v>
      </c>
      <c r="F570" s="16" t="n">
        <v>3000</v>
      </c>
      <c r="G570" s="15" t="s">
        <v>24</v>
      </c>
      <c r="H570" s="17" t="s">
        <v>25</v>
      </c>
      <c r="I570" s="18" t="s">
        <v>26</v>
      </c>
      <c r="J570" s="15" t="n">
        <v>1996</v>
      </c>
      <c r="K570" s="19" t="s">
        <v>27</v>
      </c>
      <c r="L570" s="15" t="s">
        <v>103</v>
      </c>
      <c r="M570" s="15" t="s">
        <v>33</v>
      </c>
      <c r="N570" s="17" t="s">
        <v>343</v>
      </c>
      <c r="O570" s="15"/>
      <c r="P570" s="15"/>
      <c r="Q570" s="21" t="s">
        <v>344</v>
      </c>
      <c r="R570" s="21"/>
      <c r="S570" s="21"/>
      <c r="T570" s="31" t="n">
        <v>45899</v>
      </c>
      <c r="U570" s="24" t="s">
        <v>1414</v>
      </c>
    </row>
    <row r="571" s="25" customFormat="true" ht="41.4" hidden="false" customHeight="false" outlineLevel="0" collapsed="false">
      <c r="A571" s="36" t="s">
        <v>1415</v>
      </c>
      <c r="B571" s="26" t="s">
        <v>1416</v>
      </c>
      <c r="C571" s="14" t="s">
        <v>243</v>
      </c>
      <c r="D571" s="15" t="n">
        <v>12</v>
      </c>
      <c r="E571" s="27" t="n">
        <f aca="false">F571/2</f>
        <v>39679.5</v>
      </c>
      <c r="F571" s="16" t="n">
        <f aca="false">75580*1.05</f>
        <v>79359</v>
      </c>
      <c r="G571" s="15" t="s">
        <v>36</v>
      </c>
      <c r="H571" s="17" t="s">
        <v>25</v>
      </c>
      <c r="I571" s="18" t="s">
        <v>26</v>
      </c>
      <c r="J571" s="15" t="n">
        <v>2018</v>
      </c>
      <c r="K571" s="19" t="s">
        <v>27</v>
      </c>
      <c r="L571" s="15" t="s">
        <v>28</v>
      </c>
      <c r="M571" s="15" t="s">
        <v>33</v>
      </c>
      <c r="N571" s="17" t="s">
        <v>637</v>
      </c>
      <c r="O571" s="15"/>
      <c r="P571" s="15"/>
      <c r="Q571" s="21" t="s">
        <v>78</v>
      </c>
      <c r="R571" s="21"/>
      <c r="S571" s="21"/>
      <c r="T571" s="28"/>
      <c r="U571" s="24"/>
    </row>
    <row r="572" s="25" customFormat="true" ht="41.4" hidden="false" customHeight="false" outlineLevel="0" collapsed="false">
      <c r="A572" s="39" t="s">
        <v>1417</v>
      </c>
      <c r="B572" s="26"/>
      <c r="C572" s="14" t="s">
        <v>264</v>
      </c>
      <c r="D572" s="30" t="n">
        <v>12</v>
      </c>
      <c r="E572" s="16" t="n">
        <f aca="false">F572/2</f>
        <v>28625.4</v>
      </c>
      <c r="F572" s="16" t="n">
        <f aca="false">61560*0.93</f>
        <v>57250.8</v>
      </c>
      <c r="G572" s="15" t="s">
        <v>36</v>
      </c>
      <c r="H572" s="17" t="s">
        <v>25</v>
      </c>
      <c r="I572" s="18" t="s">
        <v>26</v>
      </c>
      <c r="J572" s="15" t="n">
        <v>2024</v>
      </c>
      <c r="K572" s="19" t="s">
        <v>27</v>
      </c>
      <c r="L572" s="15" t="s">
        <v>28</v>
      </c>
      <c r="M572" s="15" t="s">
        <v>33</v>
      </c>
      <c r="N572" s="30"/>
      <c r="O572" s="60"/>
      <c r="P572" s="60"/>
      <c r="Q572" s="21"/>
      <c r="R572" s="21"/>
      <c r="S572" s="40"/>
      <c r="T572" s="31" t="n">
        <v>45880</v>
      </c>
      <c r="U572" s="41"/>
    </row>
    <row r="573" s="25" customFormat="true" ht="41.4" hidden="false" customHeight="false" outlineLevel="0" collapsed="false">
      <c r="A573" s="36" t="s">
        <v>1418</v>
      </c>
      <c r="B573" s="26" t="s">
        <v>1419</v>
      </c>
      <c r="C573" s="14" t="s">
        <v>887</v>
      </c>
      <c r="D573" s="15" t="n">
        <v>12</v>
      </c>
      <c r="E573" s="27" t="n">
        <f aca="false">F573/2</f>
        <v>7560</v>
      </c>
      <c r="F573" s="16" t="n">
        <v>15120</v>
      </c>
      <c r="G573" s="15" t="s">
        <v>24</v>
      </c>
      <c r="H573" s="17" t="s">
        <v>25</v>
      </c>
      <c r="I573" s="18" t="s">
        <v>26</v>
      </c>
      <c r="J573" s="15" t="n">
        <v>1998</v>
      </c>
      <c r="K573" s="19" t="s">
        <v>27</v>
      </c>
      <c r="L573" s="15" t="s">
        <v>28</v>
      </c>
      <c r="M573" s="15" t="s">
        <v>33</v>
      </c>
      <c r="N573" s="17" t="s">
        <v>72</v>
      </c>
      <c r="O573" s="15"/>
      <c r="P573" s="15"/>
      <c r="Q573" s="21" t="s">
        <v>534</v>
      </c>
      <c r="R573" s="21"/>
      <c r="S573" s="21"/>
      <c r="T573" s="28"/>
      <c r="U573" s="24" t="s">
        <v>1420</v>
      </c>
    </row>
    <row r="574" s="25" customFormat="true" ht="41.4" hidden="false" customHeight="false" outlineLevel="0" collapsed="false">
      <c r="A574" s="36" t="s">
        <v>1421</v>
      </c>
      <c r="B574" s="26"/>
      <c r="C574" s="14" t="s">
        <v>1422</v>
      </c>
      <c r="D574" s="15" t="n">
        <v>6</v>
      </c>
      <c r="E574" s="27" t="n">
        <f aca="false">F574/2</f>
        <v>1500</v>
      </c>
      <c r="F574" s="16" t="n">
        <v>3000</v>
      </c>
      <c r="G574" s="15" t="s">
        <v>36</v>
      </c>
      <c r="H574" s="17" t="s">
        <v>25</v>
      </c>
      <c r="I574" s="18" t="s">
        <v>26</v>
      </c>
      <c r="J574" s="15" t="n">
        <v>2023</v>
      </c>
      <c r="K574" s="19" t="s">
        <v>27</v>
      </c>
      <c r="L574" s="15" t="s">
        <v>28</v>
      </c>
      <c r="M574" s="15" t="s">
        <v>33</v>
      </c>
      <c r="N574" s="17" t="s">
        <v>72</v>
      </c>
      <c r="O574" s="15"/>
      <c r="P574" s="15"/>
      <c r="Q574" s="21"/>
      <c r="R574" s="21"/>
      <c r="S574" s="21"/>
      <c r="T574" s="28"/>
      <c r="U574" s="24"/>
    </row>
    <row r="575" s="25" customFormat="true" ht="41.4" hidden="false" customHeight="false" outlineLevel="0" collapsed="false">
      <c r="A575" s="36" t="s">
        <v>1423</v>
      </c>
      <c r="B575" s="26" t="s">
        <v>1424</v>
      </c>
      <c r="C575" s="14" t="s">
        <v>404</v>
      </c>
      <c r="D575" s="15" t="n">
        <v>12</v>
      </c>
      <c r="E575" s="27" t="n">
        <f aca="false">F575/2</f>
        <v>10800</v>
      </c>
      <c r="F575" s="16" t="n">
        <v>21600</v>
      </c>
      <c r="G575" s="15" t="s">
        <v>36</v>
      </c>
      <c r="H575" s="17" t="s">
        <v>25</v>
      </c>
      <c r="I575" s="18" t="s">
        <v>26</v>
      </c>
      <c r="J575" s="15" t="n">
        <v>2017</v>
      </c>
      <c r="K575" s="19" t="s">
        <v>27</v>
      </c>
      <c r="L575" s="15" t="s">
        <v>28</v>
      </c>
      <c r="M575" s="15" t="s">
        <v>33</v>
      </c>
      <c r="N575" s="17" t="s">
        <v>72</v>
      </c>
      <c r="O575" s="15"/>
      <c r="P575" s="15"/>
      <c r="Q575" s="21" t="s">
        <v>73</v>
      </c>
      <c r="R575" s="21" t="s">
        <v>30</v>
      </c>
      <c r="S575" s="21"/>
      <c r="T575" s="31" t="n">
        <v>45848</v>
      </c>
      <c r="U575" s="24"/>
    </row>
    <row r="576" s="25" customFormat="true" ht="41.4" hidden="false" customHeight="false" outlineLevel="0" collapsed="false">
      <c r="A576" s="36" t="s">
        <v>1425</v>
      </c>
      <c r="B576" s="26"/>
      <c r="C576" s="14" t="s">
        <v>1161</v>
      </c>
      <c r="D576" s="15" t="n">
        <v>6</v>
      </c>
      <c r="E576" s="27" t="n">
        <f aca="false">F576/2</f>
        <v>6045</v>
      </c>
      <c r="F576" s="16" t="n">
        <v>12090</v>
      </c>
      <c r="G576" s="15" t="s">
        <v>36</v>
      </c>
      <c r="H576" s="17" t="s">
        <v>25</v>
      </c>
      <c r="I576" s="18" t="s">
        <v>26</v>
      </c>
      <c r="J576" s="15" t="n">
        <v>2022</v>
      </c>
      <c r="K576" s="19" t="s">
        <v>27</v>
      </c>
      <c r="L576" s="15" t="s">
        <v>28</v>
      </c>
      <c r="M576" s="15" t="s">
        <v>33</v>
      </c>
      <c r="N576" s="20"/>
      <c r="O576" s="15"/>
      <c r="P576" s="15"/>
      <c r="Q576" s="21"/>
      <c r="R576" s="21"/>
      <c r="S576" s="21"/>
      <c r="T576" s="28"/>
      <c r="U576" s="34"/>
    </row>
    <row r="577" s="25" customFormat="true" ht="41.4" hidden="false" customHeight="false" outlineLevel="0" collapsed="false">
      <c r="A577" s="36" t="s">
        <v>1426</v>
      </c>
      <c r="B577" s="26" t="s">
        <v>1427</v>
      </c>
      <c r="C577" s="14" t="s">
        <v>122</v>
      </c>
      <c r="D577" s="15" t="n">
        <v>12</v>
      </c>
      <c r="E577" s="27" t="n">
        <v>23628</v>
      </c>
      <c r="F577" s="16" t="n">
        <v>39204</v>
      </c>
      <c r="G577" s="15" t="s">
        <v>36</v>
      </c>
      <c r="H577" s="17" t="s">
        <v>25</v>
      </c>
      <c r="I577" s="18" t="s">
        <v>26</v>
      </c>
      <c r="J577" s="15" t="n">
        <v>2017</v>
      </c>
      <c r="K577" s="19" t="s">
        <v>27</v>
      </c>
      <c r="L577" s="15" t="s">
        <v>28</v>
      </c>
      <c r="M577" s="15" t="s">
        <v>33</v>
      </c>
      <c r="N577" s="17" t="s">
        <v>1182</v>
      </c>
      <c r="O577" s="15"/>
      <c r="P577" s="15"/>
      <c r="Q577" s="21"/>
      <c r="R577" s="21"/>
      <c r="S577" s="21"/>
      <c r="T577" s="28"/>
      <c r="U577" s="24"/>
    </row>
    <row r="578" s="25" customFormat="true" ht="41.4" hidden="false" customHeight="false" outlineLevel="0" collapsed="false">
      <c r="A578" s="36" t="s">
        <v>1428</v>
      </c>
      <c r="B578" s="26" t="s">
        <v>1429</v>
      </c>
      <c r="C578" s="14" t="s">
        <v>246</v>
      </c>
      <c r="D578" s="15" t="n">
        <v>6</v>
      </c>
      <c r="E578" s="27" t="n">
        <f aca="false">F578/2</f>
        <v>11774</v>
      </c>
      <c r="F578" s="38" t="n">
        <v>23548</v>
      </c>
      <c r="G578" s="15" t="s">
        <v>36</v>
      </c>
      <c r="H578" s="17" t="s">
        <v>25</v>
      </c>
      <c r="I578" s="18" t="s">
        <v>26</v>
      </c>
      <c r="J578" s="15" t="n">
        <v>2017</v>
      </c>
      <c r="K578" s="19" t="s">
        <v>27</v>
      </c>
      <c r="L578" s="15" t="s">
        <v>28</v>
      </c>
      <c r="M578" s="15" t="s">
        <v>33</v>
      </c>
      <c r="N578" s="17"/>
      <c r="O578" s="15"/>
      <c r="P578" s="15"/>
      <c r="Q578" s="21" t="s">
        <v>247</v>
      </c>
      <c r="R578" s="21"/>
      <c r="S578" s="21"/>
      <c r="T578" s="31" t="n">
        <v>45882</v>
      </c>
      <c r="U578" s="24" t="s">
        <v>248</v>
      </c>
    </row>
    <row r="579" s="25" customFormat="true" ht="57" hidden="false" customHeight="false" outlineLevel="0" collapsed="false">
      <c r="A579" s="36" t="s">
        <v>1430</v>
      </c>
      <c r="B579" s="26" t="s">
        <v>1431</v>
      </c>
      <c r="C579" s="14" t="s">
        <v>1432</v>
      </c>
      <c r="D579" s="15" t="n">
        <v>12</v>
      </c>
      <c r="E579" s="27" t="n">
        <f aca="false">F579/2</f>
        <v>16440</v>
      </c>
      <c r="F579" s="16" t="n">
        <f aca="false">16440*2</f>
        <v>32880</v>
      </c>
      <c r="G579" s="15" t="s">
        <v>36</v>
      </c>
      <c r="H579" s="17" t="s">
        <v>25</v>
      </c>
      <c r="I579" s="18" t="s">
        <v>26</v>
      </c>
      <c r="J579" s="15" t="n">
        <v>2017</v>
      </c>
      <c r="K579" s="19" t="s">
        <v>27</v>
      </c>
      <c r="L579" s="15" t="s">
        <v>28</v>
      </c>
      <c r="M579" s="15" t="s">
        <v>33</v>
      </c>
      <c r="N579" s="17" t="s">
        <v>512</v>
      </c>
      <c r="O579" s="15"/>
      <c r="P579" s="15"/>
      <c r="Q579" s="21" t="s">
        <v>516</v>
      </c>
      <c r="R579" s="21"/>
      <c r="S579" s="21"/>
      <c r="T579" s="31" t="n">
        <v>45901</v>
      </c>
      <c r="U579" s="24" t="s">
        <v>1433</v>
      </c>
    </row>
    <row r="580" s="25" customFormat="true" ht="45.6" hidden="false" customHeight="false" outlineLevel="0" collapsed="false">
      <c r="A580" s="36" t="s">
        <v>1434</v>
      </c>
      <c r="B580" s="26" t="s">
        <v>1435</v>
      </c>
      <c r="C580" s="14"/>
      <c r="D580" s="15" t="n">
        <v>12</v>
      </c>
      <c r="E580" s="27" t="n">
        <v>1800</v>
      </c>
      <c r="F580" s="16" t="n">
        <v>3600</v>
      </c>
      <c r="G580" s="15" t="s">
        <v>354</v>
      </c>
      <c r="H580" s="17" t="s">
        <v>25</v>
      </c>
      <c r="I580" s="18" t="s">
        <v>26</v>
      </c>
      <c r="J580" s="15" t="n">
        <v>1999</v>
      </c>
      <c r="K580" s="19" t="s">
        <v>27</v>
      </c>
      <c r="L580" s="15" t="s">
        <v>28</v>
      </c>
      <c r="M580" s="15" t="s">
        <v>33</v>
      </c>
      <c r="N580" s="17" t="s">
        <v>40</v>
      </c>
      <c r="O580" s="15"/>
      <c r="P580" s="15"/>
      <c r="Q580" s="21" t="s">
        <v>41</v>
      </c>
      <c r="R580" s="21"/>
      <c r="S580" s="21"/>
      <c r="T580" s="28"/>
      <c r="U580" s="24" t="s">
        <v>1436</v>
      </c>
    </row>
    <row r="581" s="25" customFormat="true" ht="41.4" hidden="false" customHeight="false" outlineLevel="0" collapsed="false">
      <c r="A581" s="36" t="s">
        <v>1437</v>
      </c>
      <c r="B581" s="26" t="s">
        <v>1438</v>
      </c>
      <c r="C581" s="14" t="s">
        <v>1439</v>
      </c>
      <c r="D581" s="15" t="n">
        <v>4</v>
      </c>
      <c r="E581" s="27" t="n">
        <v>1600</v>
      </c>
      <c r="F581" s="16" t="n">
        <v>3200</v>
      </c>
      <c r="G581" s="15" t="s">
        <v>24</v>
      </c>
      <c r="H581" s="17" t="s">
        <v>25</v>
      </c>
      <c r="I581" s="18" t="s">
        <v>26</v>
      </c>
      <c r="J581" s="15" t="n">
        <v>2007</v>
      </c>
      <c r="K581" s="19" t="s">
        <v>65</v>
      </c>
      <c r="L581" s="15" t="s">
        <v>28</v>
      </c>
      <c r="M581" s="15" t="s">
        <v>33</v>
      </c>
      <c r="N581" s="17" t="s">
        <v>40</v>
      </c>
      <c r="O581" s="15"/>
      <c r="P581" s="15"/>
      <c r="Q581" s="21" t="s">
        <v>41</v>
      </c>
      <c r="R581" s="21"/>
      <c r="S581" s="21"/>
      <c r="T581" s="28"/>
      <c r="U581" s="24" t="s">
        <v>1440</v>
      </c>
    </row>
    <row r="582" s="25" customFormat="true" ht="41.4" hidden="false" customHeight="false" outlineLevel="0" collapsed="false">
      <c r="A582" s="36" t="s">
        <v>1441</v>
      </c>
      <c r="B582" s="26" t="s">
        <v>1442</v>
      </c>
      <c r="C582" s="14" t="s">
        <v>1443</v>
      </c>
      <c r="D582" s="15" t="n">
        <v>6</v>
      </c>
      <c r="E582" s="27" t="n">
        <f aca="false">F582/2</f>
        <v>6480</v>
      </c>
      <c r="F582" s="16" t="n">
        <f aca="false">10800*1.2</f>
        <v>12960</v>
      </c>
      <c r="G582" s="15" t="s">
        <v>36</v>
      </c>
      <c r="H582" s="17" t="s">
        <v>25</v>
      </c>
      <c r="I582" s="18" t="s">
        <v>26</v>
      </c>
      <c r="J582" s="15" t="n">
        <v>2019</v>
      </c>
      <c r="K582" s="19" t="s">
        <v>27</v>
      </c>
      <c r="L582" s="15" t="s">
        <v>28</v>
      </c>
      <c r="M582" s="15" t="s">
        <v>33</v>
      </c>
      <c r="N582" s="17" t="s">
        <v>96</v>
      </c>
      <c r="O582" s="15" t="s">
        <v>250</v>
      </c>
      <c r="P582" s="15"/>
      <c r="Q582" s="21"/>
      <c r="R582" s="21"/>
      <c r="S582" s="21"/>
      <c r="T582" s="28"/>
      <c r="U582" s="34"/>
    </row>
    <row r="583" s="25" customFormat="true" ht="41.4" hidden="false" customHeight="false" outlineLevel="0" collapsed="false">
      <c r="A583" s="36" t="s">
        <v>1444</v>
      </c>
      <c r="B583" s="26" t="s">
        <v>1445</v>
      </c>
      <c r="C583" s="14" t="s">
        <v>239</v>
      </c>
      <c r="D583" s="15" t="n">
        <v>6</v>
      </c>
      <c r="E583" s="27" t="n">
        <f aca="false">F583/2</f>
        <v>14940</v>
      </c>
      <c r="F583" s="16" t="n">
        <f aca="false">6*4980</f>
        <v>29880</v>
      </c>
      <c r="G583" s="15" t="s">
        <v>36</v>
      </c>
      <c r="H583" s="17" t="s">
        <v>25</v>
      </c>
      <c r="I583" s="18" t="s">
        <v>26</v>
      </c>
      <c r="J583" s="15" t="n">
        <v>2018</v>
      </c>
      <c r="K583" s="19" t="s">
        <v>27</v>
      </c>
      <c r="L583" s="15" t="s">
        <v>28</v>
      </c>
      <c r="M583" s="15" t="s">
        <v>33</v>
      </c>
      <c r="N583" s="17" t="s">
        <v>431</v>
      </c>
      <c r="O583" s="15"/>
      <c r="P583" s="15"/>
      <c r="Q583" s="21"/>
      <c r="R583" s="21"/>
      <c r="S583" s="21"/>
      <c r="T583" s="31" t="n">
        <v>45880</v>
      </c>
      <c r="U583" s="24"/>
    </row>
    <row r="584" s="25" customFormat="true" ht="41.4" hidden="false" customHeight="false" outlineLevel="0" collapsed="false">
      <c r="A584" s="36" t="s">
        <v>1446</v>
      </c>
      <c r="B584" s="26" t="s">
        <v>1447</v>
      </c>
      <c r="C584" s="14" t="s">
        <v>122</v>
      </c>
      <c r="D584" s="15" t="n">
        <v>12</v>
      </c>
      <c r="E584" s="27" t="n">
        <v>23628</v>
      </c>
      <c r="F584" s="16" t="n">
        <v>39204</v>
      </c>
      <c r="G584" s="15" t="s">
        <v>36</v>
      </c>
      <c r="H584" s="17" t="s">
        <v>25</v>
      </c>
      <c r="I584" s="18" t="s">
        <v>26</v>
      </c>
      <c r="J584" s="15" t="n">
        <v>2017</v>
      </c>
      <c r="K584" s="19" t="s">
        <v>27</v>
      </c>
      <c r="L584" s="15" t="s">
        <v>28</v>
      </c>
      <c r="M584" s="15" t="s">
        <v>33</v>
      </c>
      <c r="N584" s="17" t="s">
        <v>96</v>
      </c>
      <c r="O584" s="15"/>
      <c r="P584" s="15"/>
      <c r="Q584" s="21"/>
      <c r="R584" s="21"/>
      <c r="S584" s="21"/>
      <c r="T584" s="28"/>
      <c r="U584" s="24"/>
    </row>
    <row r="585" s="25" customFormat="true" ht="41.4" hidden="false" customHeight="false" outlineLevel="0" collapsed="false">
      <c r="A585" s="36" t="s">
        <v>1448</v>
      </c>
      <c r="B585" s="26"/>
      <c r="C585" s="14" t="s">
        <v>404</v>
      </c>
      <c r="D585" s="15" t="n">
        <v>2</v>
      </c>
      <c r="E585" s="27" t="n">
        <f aca="false">F585/2</f>
        <v>1800</v>
      </c>
      <c r="F585" s="16" t="n">
        <v>3600</v>
      </c>
      <c r="G585" s="15" t="s">
        <v>36</v>
      </c>
      <c r="H585" s="17" t="s">
        <v>25</v>
      </c>
      <c r="I585" s="18" t="s">
        <v>26</v>
      </c>
      <c r="J585" s="15" t="n">
        <v>2023</v>
      </c>
      <c r="K585" s="19" t="s">
        <v>27</v>
      </c>
      <c r="L585" s="15" t="s">
        <v>28</v>
      </c>
      <c r="M585" s="15" t="s">
        <v>33</v>
      </c>
      <c r="N585" s="17"/>
      <c r="O585" s="15"/>
      <c r="P585" s="15"/>
      <c r="Q585" s="21"/>
      <c r="R585" s="21" t="s">
        <v>30</v>
      </c>
      <c r="S585" s="21"/>
      <c r="T585" s="31" t="n">
        <v>45848</v>
      </c>
      <c r="U585" s="24"/>
    </row>
    <row r="586" s="25" customFormat="true" ht="41.4" hidden="false" customHeight="false" outlineLevel="0" collapsed="false">
      <c r="A586" s="36" t="s">
        <v>1449</v>
      </c>
      <c r="B586" s="26" t="n">
        <v>12842</v>
      </c>
      <c r="C586" s="14" t="s">
        <v>1450</v>
      </c>
      <c r="D586" s="15" t="n">
        <v>12</v>
      </c>
      <c r="E586" s="27" t="n">
        <f aca="false">F586/2</f>
        <v>2160</v>
      </c>
      <c r="F586" s="16" t="n">
        <f aca="false">3600*1.2</f>
        <v>4320</v>
      </c>
      <c r="G586" s="15" t="s">
        <v>24</v>
      </c>
      <c r="H586" s="17" t="s">
        <v>25</v>
      </c>
      <c r="I586" s="18" t="s">
        <v>26</v>
      </c>
      <c r="J586" s="15" t="n">
        <v>2000</v>
      </c>
      <c r="K586" s="19" t="s">
        <v>65</v>
      </c>
      <c r="L586" s="15" t="s">
        <v>28</v>
      </c>
      <c r="M586" s="15" t="s">
        <v>33</v>
      </c>
      <c r="N586" s="17" t="s">
        <v>1227</v>
      </c>
      <c r="O586" s="15"/>
      <c r="P586" s="15"/>
      <c r="Q586" s="21" t="s">
        <v>47</v>
      </c>
      <c r="R586" s="21"/>
      <c r="S586" s="21"/>
      <c r="T586" s="31" t="n">
        <v>45918</v>
      </c>
      <c r="U586" s="24" t="s">
        <v>1451</v>
      </c>
    </row>
    <row r="587" s="25" customFormat="true" ht="41.4" hidden="false" customHeight="false" outlineLevel="0" collapsed="false">
      <c r="A587" s="36" t="s">
        <v>1452</v>
      </c>
      <c r="B587" s="26"/>
      <c r="C587" s="14"/>
      <c r="D587" s="15"/>
      <c r="E587" s="27" t="n">
        <f aca="false">F587/2</f>
        <v>600</v>
      </c>
      <c r="F587" s="16" t="n">
        <v>1200</v>
      </c>
      <c r="G587" s="15" t="s">
        <v>36</v>
      </c>
      <c r="H587" s="17" t="s">
        <v>25</v>
      </c>
      <c r="I587" s="18" t="s">
        <v>26</v>
      </c>
      <c r="J587" s="15" t="n">
        <v>2019</v>
      </c>
      <c r="K587" s="19" t="s">
        <v>27</v>
      </c>
      <c r="L587" s="15" t="s">
        <v>103</v>
      </c>
      <c r="M587" s="15" t="s">
        <v>33</v>
      </c>
      <c r="N587" s="20" t="s">
        <v>1453</v>
      </c>
      <c r="O587" s="15"/>
      <c r="P587" s="15"/>
      <c r="Q587" s="21"/>
      <c r="R587" s="21"/>
      <c r="S587" s="21"/>
      <c r="T587" s="28"/>
      <c r="U587" s="34"/>
    </row>
    <row r="588" s="25" customFormat="true" ht="41.4" hidden="false" customHeight="false" outlineLevel="0" collapsed="false">
      <c r="A588" s="36" t="s">
        <v>1454</v>
      </c>
      <c r="B588" s="26"/>
      <c r="C588" s="14" t="s">
        <v>1455</v>
      </c>
      <c r="D588" s="15" t="n">
        <v>12</v>
      </c>
      <c r="E588" s="27" t="n">
        <f aca="false">F588/2</f>
        <v>7700</v>
      </c>
      <c r="F588" s="16" t="n">
        <v>15400</v>
      </c>
      <c r="G588" s="15" t="s">
        <v>36</v>
      </c>
      <c r="H588" s="17" t="s">
        <v>25</v>
      </c>
      <c r="I588" s="18" t="s">
        <v>26</v>
      </c>
      <c r="J588" s="15" t="n">
        <v>2023</v>
      </c>
      <c r="K588" s="19" t="s">
        <v>1456</v>
      </c>
      <c r="L588" s="15" t="s">
        <v>28</v>
      </c>
      <c r="M588" s="15" t="s">
        <v>33</v>
      </c>
      <c r="N588" s="17" t="s">
        <v>83</v>
      </c>
      <c r="O588" s="15" t="s">
        <v>46</v>
      </c>
      <c r="P588" s="15"/>
      <c r="Q588" s="21"/>
      <c r="R588" s="21"/>
      <c r="S588" s="21"/>
      <c r="T588" s="28"/>
      <c r="U588" s="34"/>
    </row>
    <row r="589" s="25" customFormat="true" ht="41.4" hidden="false" customHeight="false" outlineLevel="0" collapsed="false">
      <c r="A589" s="36" t="s">
        <v>1457</v>
      </c>
      <c r="B589" s="26" t="s">
        <v>1458</v>
      </c>
      <c r="C589" s="14" t="s">
        <v>1459</v>
      </c>
      <c r="D589" s="15" t="n">
        <v>4</v>
      </c>
      <c r="E589" s="27" t="n">
        <v>50</v>
      </c>
      <c r="F589" s="16" t="n">
        <v>100</v>
      </c>
      <c r="G589" s="15" t="s">
        <v>36</v>
      </c>
      <c r="H589" s="17" t="s">
        <v>25</v>
      </c>
      <c r="I589" s="18" t="s">
        <v>26</v>
      </c>
      <c r="J589" s="15" t="n">
        <v>2019</v>
      </c>
      <c r="K589" s="19" t="s">
        <v>1460</v>
      </c>
      <c r="L589" s="15" t="s">
        <v>28</v>
      </c>
      <c r="M589" s="15" t="s">
        <v>33</v>
      </c>
      <c r="N589" s="20" t="s">
        <v>1461</v>
      </c>
      <c r="O589" s="15"/>
      <c r="P589" s="15"/>
      <c r="Q589" s="21"/>
      <c r="R589" s="21"/>
      <c r="S589" s="21"/>
      <c r="T589" s="28"/>
      <c r="U589" s="34"/>
    </row>
    <row r="590" s="25" customFormat="true" ht="41.4" hidden="false" customHeight="false" outlineLevel="0" collapsed="false">
      <c r="A590" s="36" t="s">
        <v>1462</v>
      </c>
      <c r="B590" s="26" t="s">
        <v>1463</v>
      </c>
      <c r="C590" s="14" t="s">
        <v>1146</v>
      </c>
      <c r="D590" s="15" t="n">
        <v>6</v>
      </c>
      <c r="E590" s="27" t="n">
        <f aca="false">F590/2</f>
        <v>3375</v>
      </c>
      <c r="F590" s="16" t="n">
        <v>6750</v>
      </c>
      <c r="G590" s="15" t="s">
        <v>24</v>
      </c>
      <c r="H590" s="17" t="s">
        <v>25</v>
      </c>
      <c r="I590" s="18" t="s">
        <v>26</v>
      </c>
      <c r="J590" s="15" t="n">
        <v>2003</v>
      </c>
      <c r="K590" s="19" t="s">
        <v>27</v>
      </c>
      <c r="L590" s="15" t="s">
        <v>28</v>
      </c>
      <c r="M590" s="15" t="s">
        <v>33</v>
      </c>
      <c r="N590" s="17" t="s">
        <v>83</v>
      </c>
      <c r="O590" s="15"/>
      <c r="P590" s="15"/>
      <c r="Q590" s="21" t="s">
        <v>302</v>
      </c>
      <c r="R590" s="21"/>
      <c r="S590" s="21"/>
      <c r="T590" s="28"/>
      <c r="U590" s="24"/>
    </row>
    <row r="591" s="25" customFormat="true" ht="41.4" hidden="false" customHeight="false" outlineLevel="0" collapsed="false">
      <c r="A591" s="36" t="s">
        <v>1464</v>
      </c>
      <c r="B591" s="26"/>
      <c r="C591" s="14" t="s">
        <v>122</v>
      </c>
      <c r="D591" s="15" t="n">
        <v>12</v>
      </c>
      <c r="E591" s="27" t="n">
        <v>14190</v>
      </c>
      <c r="F591" s="16" t="n">
        <v>28380</v>
      </c>
      <c r="G591" s="15" t="s">
        <v>36</v>
      </c>
      <c r="H591" s="17" t="s">
        <v>25</v>
      </c>
      <c r="I591" s="18" t="s">
        <v>26</v>
      </c>
      <c r="J591" s="15" t="n">
        <v>2025</v>
      </c>
      <c r="K591" s="19" t="s">
        <v>27</v>
      </c>
      <c r="L591" s="15" t="s">
        <v>28</v>
      </c>
      <c r="M591" s="15" t="s">
        <v>33</v>
      </c>
      <c r="N591" s="17"/>
      <c r="O591" s="15"/>
      <c r="P591" s="15"/>
      <c r="Q591" s="21"/>
      <c r="R591" s="21"/>
      <c r="S591" s="21"/>
      <c r="T591" s="28"/>
      <c r="U591" s="24"/>
    </row>
    <row r="592" s="25" customFormat="true" ht="41.4" hidden="false" customHeight="false" outlineLevel="0" collapsed="false">
      <c r="A592" s="36" t="s">
        <v>1465</v>
      </c>
      <c r="B592" s="26" t="s">
        <v>1466</v>
      </c>
      <c r="C592" s="14" t="s">
        <v>122</v>
      </c>
      <c r="D592" s="15" t="n">
        <v>12</v>
      </c>
      <c r="E592" s="27" t="n">
        <v>23628</v>
      </c>
      <c r="F592" s="16" t="n">
        <v>39204</v>
      </c>
      <c r="G592" s="15" t="s">
        <v>36</v>
      </c>
      <c r="H592" s="17" t="s">
        <v>25</v>
      </c>
      <c r="I592" s="18" t="s">
        <v>26</v>
      </c>
      <c r="J592" s="15" t="n">
        <v>2017</v>
      </c>
      <c r="K592" s="19" t="s">
        <v>27</v>
      </c>
      <c r="L592" s="15" t="s">
        <v>28</v>
      </c>
      <c r="M592" s="15" t="s">
        <v>33</v>
      </c>
      <c r="N592" s="17" t="s">
        <v>72</v>
      </c>
      <c r="O592" s="15"/>
      <c r="P592" s="15"/>
      <c r="Q592" s="21"/>
      <c r="R592" s="21"/>
      <c r="S592" s="21"/>
      <c r="T592" s="28"/>
      <c r="U592" s="24"/>
    </row>
    <row r="593" s="25" customFormat="true" ht="41.4" hidden="false" customHeight="false" outlineLevel="0" collapsed="false">
      <c r="A593" s="36" t="s">
        <v>1467</v>
      </c>
      <c r="B593" s="26"/>
      <c r="C593" s="14" t="s">
        <v>1468</v>
      </c>
      <c r="D593" s="15" t="n">
        <v>8</v>
      </c>
      <c r="E593" s="27" t="n">
        <f aca="false">F593/2</f>
        <v>2184</v>
      </c>
      <c r="F593" s="16" t="n">
        <f aca="false">3640*1.2</f>
        <v>4368</v>
      </c>
      <c r="G593" s="15" t="s">
        <v>36</v>
      </c>
      <c r="H593" s="17" t="s">
        <v>25</v>
      </c>
      <c r="I593" s="18" t="s">
        <v>26</v>
      </c>
      <c r="J593" s="15" t="n">
        <v>2023</v>
      </c>
      <c r="K593" s="19" t="s">
        <v>1469</v>
      </c>
      <c r="L593" s="15" t="s">
        <v>28</v>
      </c>
      <c r="M593" s="15" t="s">
        <v>33</v>
      </c>
      <c r="N593" s="17" t="s">
        <v>270</v>
      </c>
      <c r="O593" s="15" t="s">
        <v>203</v>
      </c>
      <c r="P593" s="15"/>
      <c r="Q593" s="21"/>
      <c r="R593" s="21"/>
      <c r="S593" s="21"/>
      <c r="T593" s="28"/>
      <c r="U593" s="24"/>
    </row>
    <row r="594" s="25" customFormat="true" ht="41.4" hidden="false" customHeight="false" outlineLevel="0" collapsed="false">
      <c r="A594" s="63" t="s">
        <v>1470</v>
      </c>
      <c r="B594" s="26"/>
      <c r="C594" s="14" t="s">
        <v>264</v>
      </c>
      <c r="D594" s="30" t="n">
        <v>12</v>
      </c>
      <c r="E594" s="16" t="n">
        <f aca="false">F594/2</f>
        <v>49617.36</v>
      </c>
      <c r="F594" s="16" t="n">
        <f aca="false">106704*0.93</f>
        <v>99234.72</v>
      </c>
      <c r="G594" s="15" t="s">
        <v>36</v>
      </c>
      <c r="H594" s="17" t="s">
        <v>25</v>
      </c>
      <c r="I594" s="18" t="s">
        <v>26</v>
      </c>
      <c r="J594" s="15" t="n">
        <v>2024</v>
      </c>
      <c r="K594" s="19" t="s">
        <v>27</v>
      </c>
      <c r="L594" s="15" t="s">
        <v>28</v>
      </c>
      <c r="M594" s="15" t="s">
        <v>33</v>
      </c>
      <c r="N594" s="30"/>
      <c r="O594" s="60"/>
      <c r="P594" s="60"/>
      <c r="Q594" s="21"/>
      <c r="R594" s="21"/>
      <c r="S594" s="40"/>
      <c r="T594" s="31" t="n">
        <v>45880</v>
      </c>
      <c r="U594" s="41"/>
    </row>
    <row r="595" s="25" customFormat="true" ht="41.4" hidden="false" customHeight="false" outlineLevel="0" collapsed="false">
      <c r="A595" s="36" t="s">
        <v>1471</v>
      </c>
      <c r="B595" s="26" t="s">
        <v>1472</v>
      </c>
      <c r="C595" s="14" t="s">
        <v>122</v>
      </c>
      <c r="D595" s="15" t="n">
        <v>12</v>
      </c>
      <c r="E595" s="27" t="n">
        <v>23628</v>
      </c>
      <c r="F595" s="16" t="n">
        <v>39204</v>
      </c>
      <c r="G595" s="15" t="s">
        <v>36</v>
      </c>
      <c r="H595" s="17" t="s">
        <v>25</v>
      </c>
      <c r="I595" s="18" t="s">
        <v>26</v>
      </c>
      <c r="J595" s="15" t="n">
        <v>2017</v>
      </c>
      <c r="K595" s="19" t="s">
        <v>27</v>
      </c>
      <c r="L595" s="15" t="s">
        <v>28</v>
      </c>
      <c r="M595" s="15" t="s">
        <v>33</v>
      </c>
      <c r="N595" s="17" t="s">
        <v>131</v>
      </c>
      <c r="O595" s="15"/>
      <c r="P595" s="15"/>
      <c r="Q595" s="21"/>
      <c r="R595" s="21"/>
      <c r="S595" s="21"/>
      <c r="T595" s="28"/>
      <c r="U595" s="24"/>
    </row>
    <row r="596" s="25" customFormat="true" ht="41.4" hidden="false" customHeight="false" outlineLevel="0" collapsed="false">
      <c r="A596" s="36" t="s">
        <v>1473</v>
      </c>
      <c r="B596" s="26" t="s">
        <v>1474</v>
      </c>
      <c r="C596" s="14" t="s">
        <v>1070</v>
      </c>
      <c r="D596" s="15" t="n">
        <v>6</v>
      </c>
      <c r="E596" s="27" t="n">
        <f aca="false">F596/2</f>
        <v>4667</v>
      </c>
      <c r="F596" s="16" t="n">
        <v>9334</v>
      </c>
      <c r="G596" s="15" t="s">
        <v>24</v>
      </c>
      <c r="H596" s="17" t="s">
        <v>25</v>
      </c>
      <c r="I596" s="18" t="s">
        <v>26</v>
      </c>
      <c r="J596" s="15" t="n">
        <v>2017</v>
      </c>
      <c r="K596" s="19" t="s">
        <v>27</v>
      </c>
      <c r="L596" s="15" t="s">
        <v>28</v>
      </c>
      <c r="M596" s="15" t="s">
        <v>33</v>
      </c>
      <c r="N596" s="20"/>
      <c r="O596" s="61"/>
      <c r="P596" s="15"/>
      <c r="Q596" s="21" t="s">
        <v>247</v>
      </c>
      <c r="R596" s="21"/>
      <c r="S596" s="21"/>
      <c r="T596" s="31" t="n">
        <v>45909</v>
      </c>
      <c r="U596" s="24" t="s">
        <v>248</v>
      </c>
    </row>
    <row r="597" s="25" customFormat="true" ht="41.4" hidden="false" customHeight="false" outlineLevel="0" collapsed="false">
      <c r="A597" s="59" t="s">
        <v>1475</v>
      </c>
      <c r="B597" s="26"/>
      <c r="C597" s="14" t="s">
        <v>39</v>
      </c>
      <c r="D597" s="15" t="n">
        <v>6</v>
      </c>
      <c r="E597" s="27" t="n">
        <f aca="false">F597/2</f>
        <v>1200</v>
      </c>
      <c r="F597" s="16" t="n">
        <v>2400</v>
      </c>
      <c r="G597" s="15" t="s">
        <v>36</v>
      </c>
      <c r="H597" s="17" t="s">
        <v>25</v>
      </c>
      <c r="I597" s="18" t="s">
        <v>26</v>
      </c>
      <c r="J597" s="15" t="n">
        <v>2023</v>
      </c>
      <c r="K597" s="19" t="s">
        <v>27</v>
      </c>
      <c r="L597" s="15" t="s">
        <v>28</v>
      </c>
      <c r="M597" s="15" t="s">
        <v>33</v>
      </c>
      <c r="N597" s="17"/>
      <c r="O597" s="15"/>
      <c r="P597" s="15"/>
      <c r="Q597" s="21"/>
      <c r="R597" s="21"/>
      <c r="S597" s="21"/>
      <c r="T597" s="28"/>
      <c r="U597" s="24"/>
    </row>
    <row r="598" s="25" customFormat="true" ht="41.4" hidden="false" customHeight="false" outlineLevel="0" collapsed="false">
      <c r="A598" s="12" t="s">
        <v>1476</v>
      </c>
      <c r="B598" s="26" t="s">
        <v>1477</v>
      </c>
      <c r="C598" s="14"/>
      <c r="D598" s="15" t="n">
        <v>12</v>
      </c>
      <c r="E598" s="27" t="n">
        <f aca="false">F598/2</f>
        <v>1500</v>
      </c>
      <c r="F598" s="16" t="n">
        <v>3000</v>
      </c>
      <c r="G598" s="15" t="s">
        <v>354</v>
      </c>
      <c r="H598" s="17" t="s">
        <v>25</v>
      </c>
      <c r="I598" s="18" t="s">
        <v>26</v>
      </c>
      <c r="J598" s="15" t="n">
        <v>2000</v>
      </c>
      <c r="K598" s="19" t="s">
        <v>27</v>
      </c>
      <c r="L598" s="15" t="s">
        <v>28</v>
      </c>
      <c r="M598" s="15" t="s">
        <v>33</v>
      </c>
      <c r="N598" s="17" t="s">
        <v>1227</v>
      </c>
      <c r="O598" s="15"/>
      <c r="P598" s="15"/>
      <c r="Q598" s="21" t="s">
        <v>47</v>
      </c>
      <c r="R598" s="21"/>
      <c r="S598" s="21"/>
      <c r="T598" s="28"/>
      <c r="U598" s="24" t="s">
        <v>1478</v>
      </c>
    </row>
    <row r="599" s="25" customFormat="true" ht="41.4" hidden="false" customHeight="false" outlineLevel="0" collapsed="false">
      <c r="A599" s="36" t="s">
        <v>1479</v>
      </c>
      <c r="B599" s="26" t="s">
        <v>1480</v>
      </c>
      <c r="C599" s="14" t="s">
        <v>1481</v>
      </c>
      <c r="D599" s="15" t="n">
        <v>12</v>
      </c>
      <c r="E599" s="27" t="n">
        <f aca="false">F599/2</f>
        <v>720</v>
      </c>
      <c r="F599" s="16" t="n">
        <f aca="false">12*120</f>
        <v>1440</v>
      </c>
      <c r="G599" s="15" t="s">
        <v>36</v>
      </c>
      <c r="H599" s="17" t="s">
        <v>25</v>
      </c>
      <c r="I599" s="18" t="s">
        <v>26</v>
      </c>
      <c r="J599" s="15" t="n">
        <v>2019</v>
      </c>
      <c r="K599" s="19" t="s">
        <v>27</v>
      </c>
      <c r="L599" s="15" t="s">
        <v>28</v>
      </c>
      <c r="M599" s="15" t="s">
        <v>33</v>
      </c>
      <c r="N599" s="17"/>
      <c r="O599" s="15"/>
      <c r="P599" s="15"/>
      <c r="Q599" s="21" t="s">
        <v>78</v>
      </c>
      <c r="R599" s="21"/>
      <c r="S599" s="21"/>
      <c r="T599" s="28"/>
      <c r="U599" s="24"/>
    </row>
    <row r="600" s="25" customFormat="true" ht="41.4" hidden="false" customHeight="false" outlineLevel="0" collapsed="false">
      <c r="A600" s="36" t="s">
        <v>1482</v>
      </c>
      <c r="B600" s="26" t="s">
        <v>1483</v>
      </c>
      <c r="C600" s="14"/>
      <c r="D600" s="15" t="n">
        <v>4</v>
      </c>
      <c r="E600" s="27" t="n">
        <f aca="false">F600/2</f>
        <v>1200</v>
      </c>
      <c r="F600" s="16" t="n">
        <f aca="false">2000*1.2</f>
        <v>2400</v>
      </c>
      <c r="G600" s="15" t="s">
        <v>36</v>
      </c>
      <c r="H600" s="17" t="s">
        <v>25</v>
      </c>
      <c r="I600" s="18" t="s">
        <v>26</v>
      </c>
      <c r="J600" s="15"/>
      <c r="K600" s="19"/>
      <c r="L600" s="15"/>
      <c r="M600" s="15"/>
      <c r="N600" s="17"/>
      <c r="O600" s="15"/>
      <c r="P600" s="15"/>
      <c r="Q600" s="21"/>
      <c r="R600" s="21"/>
      <c r="S600" s="21"/>
      <c r="T600" s="28"/>
      <c r="U600" s="24"/>
    </row>
    <row r="601" s="25" customFormat="true" ht="41.4" hidden="false" customHeight="false" outlineLevel="0" collapsed="false">
      <c r="A601" s="36" t="s">
        <v>1484</v>
      </c>
      <c r="B601" s="26" t="s">
        <v>1485</v>
      </c>
      <c r="C601" s="14" t="s">
        <v>1486</v>
      </c>
      <c r="D601" s="15" t="n">
        <v>10</v>
      </c>
      <c r="E601" s="27" t="n">
        <f aca="false">F601/2</f>
        <v>600</v>
      </c>
      <c r="F601" s="16" t="n">
        <v>1200</v>
      </c>
      <c r="G601" s="15" t="s">
        <v>36</v>
      </c>
      <c r="H601" s="17" t="s">
        <v>25</v>
      </c>
      <c r="I601" s="18" t="s">
        <v>26</v>
      </c>
      <c r="J601" s="15" t="n">
        <v>2020</v>
      </c>
      <c r="K601" s="19" t="s">
        <v>27</v>
      </c>
      <c r="L601" s="15" t="s">
        <v>28</v>
      </c>
      <c r="M601" s="15" t="s">
        <v>33</v>
      </c>
      <c r="N601" s="20" t="s">
        <v>270</v>
      </c>
      <c r="O601" s="15"/>
      <c r="P601" s="15"/>
      <c r="Q601" s="21"/>
      <c r="R601" s="21"/>
      <c r="S601" s="21"/>
      <c r="T601" s="28"/>
      <c r="U601" s="34"/>
    </row>
    <row r="602" s="25" customFormat="true" ht="41.4" hidden="false" customHeight="false" outlineLevel="0" collapsed="false">
      <c r="A602" s="36" t="s">
        <v>1487</v>
      </c>
      <c r="B602" s="26" t="s">
        <v>1488</v>
      </c>
      <c r="C602" s="14" t="s">
        <v>246</v>
      </c>
      <c r="D602" s="15" t="n">
        <v>12</v>
      </c>
      <c r="E602" s="27" t="n">
        <f aca="false">F602/2</f>
        <v>22234.5</v>
      </c>
      <c r="F602" s="38" t="n">
        <v>44469</v>
      </c>
      <c r="G602" s="15" t="s">
        <v>36</v>
      </c>
      <c r="H602" s="17" t="s">
        <v>25</v>
      </c>
      <c r="I602" s="18" t="s">
        <v>26</v>
      </c>
      <c r="J602" s="15" t="n">
        <v>2017</v>
      </c>
      <c r="K602" s="19" t="s">
        <v>27</v>
      </c>
      <c r="L602" s="15" t="s">
        <v>28</v>
      </c>
      <c r="M602" s="15" t="s">
        <v>33</v>
      </c>
      <c r="N602" s="20" t="s">
        <v>66</v>
      </c>
      <c r="O602" s="15"/>
      <c r="P602" s="15"/>
      <c r="Q602" s="21" t="s">
        <v>247</v>
      </c>
      <c r="R602" s="21"/>
      <c r="S602" s="21"/>
      <c r="T602" s="31" t="n">
        <v>45882</v>
      </c>
      <c r="U602" s="24" t="s">
        <v>248</v>
      </c>
    </row>
    <row r="603" s="25" customFormat="true" ht="41.4" hidden="false" customHeight="false" outlineLevel="0" collapsed="false">
      <c r="A603" s="36" t="s">
        <v>1489</v>
      </c>
      <c r="B603" s="26"/>
      <c r="C603" s="14" t="s">
        <v>640</v>
      </c>
      <c r="D603" s="15" t="n">
        <v>4</v>
      </c>
      <c r="E603" s="27" t="n">
        <f aca="false">F603/2</f>
        <v>50</v>
      </c>
      <c r="F603" s="16" t="n">
        <v>100</v>
      </c>
      <c r="G603" s="15" t="s">
        <v>36</v>
      </c>
      <c r="H603" s="17" t="s">
        <v>25</v>
      </c>
      <c r="I603" s="18" t="s">
        <v>26</v>
      </c>
      <c r="J603" s="15" t="n">
        <v>2019</v>
      </c>
      <c r="K603" s="19" t="s">
        <v>27</v>
      </c>
      <c r="L603" s="15" t="s">
        <v>28</v>
      </c>
      <c r="M603" s="15" t="s">
        <v>33</v>
      </c>
      <c r="N603" s="20"/>
      <c r="O603" s="15"/>
      <c r="P603" s="15"/>
      <c r="Q603" s="21"/>
      <c r="R603" s="21"/>
      <c r="S603" s="21"/>
      <c r="T603" s="28"/>
      <c r="U603" s="34"/>
    </row>
    <row r="604" s="25" customFormat="true" ht="41.4" hidden="false" customHeight="false" outlineLevel="0" collapsed="false">
      <c r="A604" s="36" t="s">
        <v>1490</v>
      </c>
      <c r="B604" s="26" t="s">
        <v>1491</v>
      </c>
      <c r="C604" s="14" t="s">
        <v>1051</v>
      </c>
      <c r="D604" s="15" t="n">
        <v>6</v>
      </c>
      <c r="E604" s="27" t="n">
        <f aca="false">F604/2</f>
        <v>2340</v>
      </c>
      <c r="F604" s="16" t="n">
        <f aca="false">3900*1.2</f>
        <v>4680</v>
      </c>
      <c r="G604" s="15" t="s">
        <v>24</v>
      </c>
      <c r="H604" s="17" t="s">
        <v>25</v>
      </c>
      <c r="I604" s="18" t="s">
        <v>26</v>
      </c>
      <c r="J604" s="15" t="n">
        <v>2011</v>
      </c>
      <c r="K604" s="19" t="s">
        <v>27</v>
      </c>
      <c r="L604" s="15" t="s">
        <v>28</v>
      </c>
      <c r="M604" s="15" t="s">
        <v>33</v>
      </c>
      <c r="N604" s="17" t="s">
        <v>45</v>
      </c>
      <c r="O604" s="15"/>
      <c r="P604" s="15"/>
      <c r="Q604" s="21" t="s">
        <v>862</v>
      </c>
      <c r="R604" s="21"/>
      <c r="S604" s="21"/>
      <c r="T604" s="31" t="n">
        <v>45856</v>
      </c>
      <c r="U604" s="24" t="s">
        <v>1492</v>
      </c>
    </row>
    <row r="605" s="25" customFormat="true" ht="41.4" hidden="false" customHeight="false" outlineLevel="0" collapsed="false">
      <c r="A605" s="36" t="s">
        <v>1493</v>
      </c>
      <c r="B605" s="26" t="s">
        <v>1494</v>
      </c>
      <c r="C605" s="14"/>
      <c r="D605" s="15" t="n">
        <v>240</v>
      </c>
      <c r="E605" s="27" t="n">
        <f aca="false">F605/2</f>
        <v>2500</v>
      </c>
      <c r="F605" s="16" t="n">
        <v>5000</v>
      </c>
      <c r="G605" s="15" t="s">
        <v>24</v>
      </c>
      <c r="H605" s="17" t="s">
        <v>25</v>
      </c>
      <c r="I605" s="18" t="s">
        <v>26</v>
      </c>
      <c r="J605" s="15" t="n">
        <v>1995</v>
      </c>
      <c r="K605" s="19" t="s">
        <v>27</v>
      </c>
      <c r="L605" s="15" t="s">
        <v>103</v>
      </c>
      <c r="M605" s="15" t="s">
        <v>33</v>
      </c>
      <c r="N605" s="17" t="s">
        <v>343</v>
      </c>
      <c r="O605" s="15"/>
      <c r="P605" s="15"/>
      <c r="Q605" s="21" t="s">
        <v>344</v>
      </c>
      <c r="R605" s="21"/>
      <c r="S605" s="21"/>
      <c r="T605" s="28"/>
      <c r="U605" s="24" t="s">
        <v>1495</v>
      </c>
    </row>
    <row r="606" s="25" customFormat="true" ht="41.4" hidden="false" customHeight="false" outlineLevel="0" collapsed="false">
      <c r="A606" s="36" t="s">
        <v>1496</v>
      </c>
      <c r="B606" s="26"/>
      <c r="C606" s="14" t="s">
        <v>152</v>
      </c>
      <c r="D606" s="15" t="n">
        <v>4</v>
      </c>
      <c r="E606" s="27" t="n">
        <f aca="false">F606/2</f>
        <v>50</v>
      </c>
      <c r="F606" s="16" t="n">
        <v>100</v>
      </c>
      <c r="G606" s="15" t="s">
        <v>36</v>
      </c>
      <c r="H606" s="17" t="s">
        <v>25</v>
      </c>
      <c r="I606" s="18" t="s">
        <v>26</v>
      </c>
      <c r="J606" s="15" t="n">
        <v>2023</v>
      </c>
      <c r="K606" s="19" t="s">
        <v>27</v>
      </c>
      <c r="L606" s="15" t="s">
        <v>28</v>
      </c>
      <c r="M606" s="15" t="s">
        <v>33</v>
      </c>
      <c r="N606" s="17" t="s">
        <v>153</v>
      </c>
      <c r="O606" s="15" t="s">
        <v>46</v>
      </c>
      <c r="P606" s="15"/>
      <c r="Q606" s="21"/>
      <c r="R606" s="21"/>
      <c r="S606" s="21"/>
      <c r="T606" s="28"/>
      <c r="U606" s="24"/>
    </row>
    <row r="607" s="25" customFormat="true" ht="41.4" hidden="false" customHeight="false" outlineLevel="0" collapsed="false">
      <c r="A607" s="36" t="s">
        <v>1497</v>
      </c>
      <c r="B607" s="26"/>
      <c r="C607" s="14" t="s">
        <v>130</v>
      </c>
      <c r="D607" s="15" t="n">
        <v>6</v>
      </c>
      <c r="E607" s="27" t="n">
        <f aca="false">F607/2</f>
        <v>50</v>
      </c>
      <c r="F607" s="16" t="n">
        <v>100</v>
      </c>
      <c r="G607" s="15" t="s">
        <v>36</v>
      </c>
      <c r="H607" s="17" t="s">
        <v>25</v>
      </c>
      <c r="I607" s="18" t="s">
        <v>26</v>
      </c>
      <c r="J607" s="15" t="n">
        <v>2023</v>
      </c>
      <c r="K607" s="19" t="s">
        <v>27</v>
      </c>
      <c r="L607" s="15" t="s">
        <v>28</v>
      </c>
      <c r="M607" s="15" t="s">
        <v>33</v>
      </c>
      <c r="N607" s="17" t="s">
        <v>131</v>
      </c>
      <c r="O607" s="15" t="s">
        <v>46</v>
      </c>
      <c r="P607" s="15"/>
      <c r="Q607" s="21"/>
      <c r="R607" s="21"/>
      <c r="S607" s="21"/>
      <c r="T607" s="28"/>
      <c r="U607" s="24"/>
    </row>
    <row r="608" s="25" customFormat="true" ht="41.4" hidden="false" customHeight="false" outlineLevel="0" collapsed="false">
      <c r="A608" s="36" t="s">
        <v>1498</v>
      </c>
      <c r="B608" s="26" t="s">
        <v>1499</v>
      </c>
      <c r="C608" s="14" t="s">
        <v>1500</v>
      </c>
      <c r="D608" s="15" t="n">
        <v>8</v>
      </c>
      <c r="E608" s="27" t="n">
        <f aca="false">F608/2</f>
        <v>50</v>
      </c>
      <c r="F608" s="16" t="n">
        <v>100</v>
      </c>
      <c r="G608" s="15" t="s">
        <v>36</v>
      </c>
      <c r="H608" s="17" t="s">
        <v>25</v>
      </c>
      <c r="I608" s="18" t="s">
        <v>26</v>
      </c>
      <c r="J608" s="15" t="n">
        <v>2014</v>
      </c>
      <c r="K608" s="19" t="s">
        <v>52</v>
      </c>
      <c r="L608" s="15" t="s">
        <v>28</v>
      </c>
      <c r="M608" s="15" t="s">
        <v>33</v>
      </c>
      <c r="N608" s="17"/>
      <c r="O608" s="15"/>
      <c r="P608" s="15"/>
      <c r="Q608" s="21" t="s">
        <v>577</v>
      </c>
      <c r="R608" s="21"/>
      <c r="S608" s="21"/>
      <c r="T608" s="28"/>
      <c r="U608" s="24"/>
    </row>
    <row r="609" s="25" customFormat="true" ht="41.4" hidden="false" customHeight="false" outlineLevel="0" collapsed="false">
      <c r="A609" s="36" t="s">
        <v>1501</v>
      </c>
      <c r="B609" s="26" t="s">
        <v>1502</v>
      </c>
      <c r="C609" s="14"/>
      <c r="D609" s="15" t="n">
        <v>6</v>
      </c>
      <c r="E609" s="27" t="n">
        <f aca="false">F609/2</f>
        <v>800</v>
      </c>
      <c r="F609" s="16" t="n">
        <v>1600</v>
      </c>
      <c r="G609" s="15" t="s">
        <v>36</v>
      </c>
      <c r="H609" s="17" t="s">
        <v>25</v>
      </c>
      <c r="I609" s="18" t="s">
        <v>26</v>
      </c>
      <c r="J609" s="15" t="n">
        <v>2018</v>
      </c>
      <c r="K609" s="19" t="s">
        <v>1503</v>
      </c>
      <c r="L609" s="15" t="s">
        <v>28</v>
      </c>
      <c r="M609" s="15" t="s">
        <v>33</v>
      </c>
      <c r="N609" s="17"/>
      <c r="O609" s="15"/>
      <c r="P609" s="15"/>
      <c r="Q609" s="21" t="s">
        <v>78</v>
      </c>
      <c r="R609" s="21"/>
      <c r="S609" s="21"/>
      <c r="T609" s="28"/>
      <c r="U609" s="34"/>
    </row>
    <row r="610" s="25" customFormat="true" ht="45.6" hidden="false" customHeight="false" outlineLevel="0" collapsed="false">
      <c r="A610" s="36" t="s">
        <v>1504</v>
      </c>
      <c r="B610" s="26" t="s">
        <v>1505</v>
      </c>
      <c r="C610" s="14"/>
      <c r="D610" s="15" t="n">
        <v>12</v>
      </c>
      <c r="E610" s="27" t="n">
        <v>2160</v>
      </c>
      <c r="F610" s="16" t="n">
        <v>4320</v>
      </c>
      <c r="G610" s="15" t="s">
        <v>24</v>
      </c>
      <c r="H610" s="17" t="s">
        <v>25</v>
      </c>
      <c r="I610" s="18" t="s">
        <v>26</v>
      </c>
      <c r="J610" s="15" t="n">
        <v>2006</v>
      </c>
      <c r="K610" s="19" t="s">
        <v>617</v>
      </c>
      <c r="L610" s="15" t="s">
        <v>28</v>
      </c>
      <c r="M610" s="15" t="s">
        <v>33</v>
      </c>
      <c r="N610" s="17" t="s">
        <v>139</v>
      </c>
      <c r="O610" s="15"/>
      <c r="P610" s="15"/>
      <c r="Q610" s="21" t="s">
        <v>253</v>
      </c>
      <c r="R610" s="21"/>
      <c r="S610" s="21"/>
      <c r="T610" s="28"/>
      <c r="U610" s="24" t="s">
        <v>1506</v>
      </c>
    </row>
    <row r="611" s="25" customFormat="true" ht="41.4" hidden="false" customHeight="false" outlineLevel="0" collapsed="false">
      <c r="A611" s="36" t="s">
        <v>1507</v>
      </c>
      <c r="B611" s="26"/>
      <c r="C611" s="14" t="s">
        <v>142</v>
      </c>
      <c r="D611" s="15" t="n">
        <v>4</v>
      </c>
      <c r="E611" s="27" t="n">
        <f aca="false">F611/2</f>
        <v>4508</v>
      </c>
      <c r="F611" s="16" t="n">
        <v>9016</v>
      </c>
      <c r="G611" s="15" t="s">
        <v>36</v>
      </c>
      <c r="H611" s="17" t="s">
        <v>25</v>
      </c>
      <c r="I611" s="18" t="s">
        <v>26</v>
      </c>
      <c r="J611" s="15" t="n">
        <v>2023</v>
      </c>
      <c r="K611" s="19" t="s">
        <v>27</v>
      </c>
      <c r="L611" s="15" t="s">
        <v>28</v>
      </c>
      <c r="M611" s="15" t="s">
        <v>33</v>
      </c>
      <c r="N611" s="20"/>
      <c r="O611" s="15" t="s">
        <v>46</v>
      </c>
      <c r="P611" s="15"/>
      <c r="Q611" s="21"/>
      <c r="R611" s="21"/>
      <c r="S611" s="21"/>
      <c r="T611" s="28"/>
      <c r="U611" s="34"/>
    </row>
    <row r="612" s="25" customFormat="true" ht="41.4" hidden="false" customHeight="false" outlineLevel="0" collapsed="false">
      <c r="A612" s="36" t="s">
        <v>1508</v>
      </c>
      <c r="B612" s="26" t="s">
        <v>1509</v>
      </c>
      <c r="C612" s="14" t="s">
        <v>643</v>
      </c>
      <c r="D612" s="15" t="n">
        <v>12</v>
      </c>
      <c r="E612" s="27" t="n">
        <f aca="false">F612/2</f>
        <v>725</v>
      </c>
      <c r="F612" s="16" t="n">
        <v>1450</v>
      </c>
      <c r="G612" s="15" t="s">
        <v>36</v>
      </c>
      <c r="H612" s="17" t="s">
        <v>25</v>
      </c>
      <c r="I612" s="18" t="s">
        <v>26</v>
      </c>
      <c r="J612" s="15" t="n">
        <v>2012</v>
      </c>
      <c r="K612" s="19" t="s">
        <v>27</v>
      </c>
      <c r="L612" s="15" t="s">
        <v>28</v>
      </c>
      <c r="M612" s="15" t="s">
        <v>33</v>
      </c>
      <c r="N612" s="17" t="s">
        <v>637</v>
      </c>
      <c r="O612" s="15" t="s">
        <v>203</v>
      </c>
      <c r="P612" s="15"/>
      <c r="Q612" s="21" t="s">
        <v>577</v>
      </c>
      <c r="R612" s="21"/>
      <c r="S612" s="21"/>
      <c r="T612" s="28"/>
      <c r="U612" s="24" t="s">
        <v>1510</v>
      </c>
    </row>
    <row r="613" s="25" customFormat="true" ht="41.4" hidden="false" customHeight="false" outlineLevel="0" collapsed="false">
      <c r="A613" s="36" t="s">
        <v>1511</v>
      </c>
      <c r="B613" s="26" t="s">
        <v>1512</v>
      </c>
      <c r="C613" s="14"/>
      <c r="D613" s="15" t="n">
        <v>4</v>
      </c>
      <c r="E613" s="27" t="n">
        <f aca="false">F613/2</f>
        <v>1400</v>
      </c>
      <c r="F613" s="16" t="n">
        <f aca="false">4*700</f>
        <v>2800</v>
      </c>
      <c r="G613" s="15" t="s">
        <v>36</v>
      </c>
      <c r="H613" s="17" t="s">
        <v>25</v>
      </c>
      <c r="I613" s="18" t="s">
        <v>26</v>
      </c>
      <c r="J613" s="15" t="n">
        <v>2017</v>
      </c>
      <c r="K613" s="19" t="s">
        <v>1513</v>
      </c>
      <c r="L613" s="15" t="s">
        <v>28</v>
      </c>
      <c r="M613" s="15" t="s">
        <v>33</v>
      </c>
      <c r="N613" s="17" t="s">
        <v>1068</v>
      </c>
      <c r="O613" s="15"/>
      <c r="P613" s="15"/>
      <c r="Q613" s="21" t="s">
        <v>78</v>
      </c>
      <c r="R613" s="21"/>
      <c r="S613" s="21"/>
      <c r="T613" s="31" t="n">
        <v>45901</v>
      </c>
      <c r="U613" s="24"/>
    </row>
    <row r="614" s="25" customFormat="true" ht="41.4" hidden="false" customHeight="false" outlineLevel="0" collapsed="false">
      <c r="A614" s="36" t="s">
        <v>1514</v>
      </c>
      <c r="B614" s="26" t="s">
        <v>1515</v>
      </c>
      <c r="C614" s="14" t="s">
        <v>762</v>
      </c>
      <c r="D614" s="15" t="n">
        <v>4</v>
      </c>
      <c r="E614" s="27" t="n">
        <f aca="false">F614/2</f>
        <v>50</v>
      </c>
      <c r="F614" s="16" t="n">
        <v>100</v>
      </c>
      <c r="G614" s="15" t="s">
        <v>36</v>
      </c>
      <c r="H614" s="17" t="s">
        <v>25</v>
      </c>
      <c r="I614" s="18" t="s">
        <v>26</v>
      </c>
      <c r="J614" s="15" t="n">
        <v>2018</v>
      </c>
      <c r="K614" s="19" t="s">
        <v>763</v>
      </c>
      <c r="L614" s="15" t="s">
        <v>28</v>
      </c>
      <c r="M614" s="15" t="s">
        <v>33</v>
      </c>
      <c r="N614" s="20"/>
      <c r="O614" s="15"/>
      <c r="P614" s="15"/>
      <c r="Q614" s="21"/>
      <c r="R614" s="21"/>
      <c r="S614" s="21"/>
      <c r="T614" s="28"/>
      <c r="U614" s="24"/>
    </row>
    <row r="615" s="25" customFormat="true" ht="41.4" hidden="false" customHeight="false" outlineLevel="0" collapsed="false">
      <c r="A615" s="36" t="s">
        <v>1516</v>
      </c>
      <c r="B615" s="26" t="s">
        <v>1517</v>
      </c>
      <c r="C615" s="14" t="s">
        <v>762</v>
      </c>
      <c r="D615" s="15" t="n">
        <v>4</v>
      </c>
      <c r="E615" s="27" t="n">
        <f aca="false">F615/2</f>
        <v>50</v>
      </c>
      <c r="F615" s="16" t="n">
        <v>100</v>
      </c>
      <c r="G615" s="15" t="s">
        <v>36</v>
      </c>
      <c r="H615" s="17" t="s">
        <v>25</v>
      </c>
      <c r="I615" s="18" t="s">
        <v>26</v>
      </c>
      <c r="J615" s="15" t="n">
        <v>2018</v>
      </c>
      <c r="K615" s="19" t="s">
        <v>763</v>
      </c>
      <c r="L615" s="15" t="s">
        <v>28</v>
      </c>
      <c r="M615" s="15" t="s">
        <v>33</v>
      </c>
      <c r="N615" s="20"/>
      <c r="O615" s="15"/>
      <c r="P615" s="15"/>
      <c r="Q615" s="21"/>
      <c r="R615" s="21"/>
      <c r="S615" s="21"/>
      <c r="T615" s="28"/>
      <c r="U615" s="24"/>
    </row>
    <row r="616" s="25" customFormat="true" ht="41.4" hidden="false" customHeight="false" outlineLevel="0" collapsed="false">
      <c r="A616" s="36" t="s">
        <v>1518</v>
      </c>
      <c r="B616" s="26" t="s">
        <v>1519</v>
      </c>
      <c r="C616" s="14" t="s">
        <v>762</v>
      </c>
      <c r="D616" s="15" t="n">
        <v>4</v>
      </c>
      <c r="E616" s="27" t="n">
        <f aca="false">F616/2</f>
        <v>50</v>
      </c>
      <c r="F616" s="16" t="n">
        <v>100</v>
      </c>
      <c r="G616" s="15" t="s">
        <v>36</v>
      </c>
      <c r="H616" s="17" t="s">
        <v>25</v>
      </c>
      <c r="I616" s="18" t="s">
        <v>26</v>
      </c>
      <c r="J616" s="15" t="n">
        <v>2018</v>
      </c>
      <c r="K616" s="19" t="s">
        <v>763</v>
      </c>
      <c r="L616" s="15" t="s">
        <v>28</v>
      </c>
      <c r="M616" s="15" t="s">
        <v>33</v>
      </c>
      <c r="N616" s="20" t="s">
        <v>83</v>
      </c>
      <c r="O616" s="15"/>
      <c r="P616" s="15"/>
      <c r="Q616" s="21"/>
      <c r="R616" s="21"/>
      <c r="S616" s="21"/>
      <c r="T616" s="28"/>
      <c r="U616" s="24"/>
    </row>
    <row r="617" s="25" customFormat="true" ht="41.4" hidden="false" customHeight="false" outlineLevel="0" collapsed="false">
      <c r="A617" s="36" t="s">
        <v>1520</v>
      </c>
      <c r="B617" s="26" t="s">
        <v>1521</v>
      </c>
      <c r="C617" s="14" t="s">
        <v>762</v>
      </c>
      <c r="D617" s="15" t="n">
        <v>4</v>
      </c>
      <c r="E617" s="27" t="n">
        <f aca="false">F617/2</f>
        <v>50</v>
      </c>
      <c r="F617" s="16" t="n">
        <v>100</v>
      </c>
      <c r="G617" s="15" t="s">
        <v>36</v>
      </c>
      <c r="H617" s="17" t="s">
        <v>25</v>
      </c>
      <c r="I617" s="18" t="s">
        <v>26</v>
      </c>
      <c r="J617" s="15" t="n">
        <v>2018</v>
      </c>
      <c r="K617" s="19" t="s">
        <v>763</v>
      </c>
      <c r="L617" s="15" t="s">
        <v>28</v>
      </c>
      <c r="M617" s="15" t="s">
        <v>33</v>
      </c>
      <c r="N617" s="20"/>
      <c r="O617" s="15"/>
      <c r="P617" s="15"/>
      <c r="Q617" s="21"/>
      <c r="R617" s="21"/>
      <c r="S617" s="21"/>
      <c r="T617" s="28"/>
      <c r="U617" s="24"/>
    </row>
    <row r="618" s="25" customFormat="true" ht="41.4" hidden="false" customHeight="false" outlineLevel="0" collapsed="false">
      <c r="A618" s="36" t="s">
        <v>1522</v>
      </c>
      <c r="B618" s="26" t="s">
        <v>1523</v>
      </c>
      <c r="C618" s="14" t="s">
        <v>762</v>
      </c>
      <c r="D618" s="15" t="n">
        <v>4</v>
      </c>
      <c r="E618" s="27" t="n">
        <f aca="false">F618/2</f>
        <v>50</v>
      </c>
      <c r="F618" s="16" t="n">
        <v>100</v>
      </c>
      <c r="G618" s="15" t="s">
        <v>36</v>
      </c>
      <c r="H618" s="17" t="s">
        <v>25</v>
      </c>
      <c r="I618" s="18" t="s">
        <v>26</v>
      </c>
      <c r="J618" s="15" t="n">
        <v>2018</v>
      </c>
      <c r="K618" s="19" t="s">
        <v>763</v>
      </c>
      <c r="L618" s="15" t="s">
        <v>28</v>
      </c>
      <c r="M618" s="15" t="s">
        <v>33</v>
      </c>
      <c r="N618" s="20"/>
      <c r="O618" s="15"/>
      <c r="P618" s="15"/>
      <c r="Q618" s="21"/>
      <c r="R618" s="21"/>
      <c r="S618" s="21"/>
      <c r="T618" s="28"/>
      <c r="U618" s="24"/>
    </row>
    <row r="619" s="25" customFormat="true" ht="41.4" hidden="false" customHeight="false" outlineLevel="0" collapsed="false">
      <c r="A619" s="36" t="s">
        <v>1524</v>
      </c>
      <c r="B619" s="26" t="s">
        <v>1525</v>
      </c>
      <c r="C619" s="14" t="s">
        <v>762</v>
      </c>
      <c r="D619" s="15" t="n">
        <v>4</v>
      </c>
      <c r="E619" s="27" t="n">
        <f aca="false">F619/2</f>
        <v>50</v>
      </c>
      <c r="F619" s="16" t="n">
        <v>100</v>
      </c>
      <c r="G619" s="15" t="s">
        <v>36</v>
      </c>
      <c r="H619" s="17" t="s">
        <v>25</v>
      </c>
      <c r="I619" s="18" t="s">
        <v>26</v>
      </c>
      <c r="J619" s="15" t="n">
        <v>2018</v>
      </c>
      <c r="K619" s="19" t="s">
        <v>763</v>
      </c>
      <c r="L619" s="15" t="s">
        <v>28</v>
      </c>
      <c r="M619" s="15" t="s">
        <v>33</v>
      </c>
      <c r="N619" s="20"/>
      <c r="O619" s="15"/>
      <c r="P619" s="15"/>
      <c r="Q619" s="21"/>
      <c r="R619" s="21"/>
      <c r="S619" s="21"/>
      <c r="T619" s="28"/>
      <c r="U619" s="24"/>
      <c r="V619" s="37"/>
      <c r="W619" s="37"/>
    </row>
    <row r="620" s="25" customFormat="true" ht="41.4" hidden="false" customHeight="false" outlineLevel="0" collapsed="false">
      <c r="A620" s="36" t="s">
        <v>1526</v>
      </c>
      <c r="B620" s="26" t="s">
        <v>1527</v>
      </c>
      <c r="C620" s="14" t="s">
        <v>762</v>
      </c>
      <c r="D620" s="15" t="n">
        <v>2</v>
      </c>
      <c r="E620" s="27" t="n">
        <f aca="false">F620/2</f>
        <v>50</v>
      </c>
      <c r="F620" s="16" t="n">
        <v>100</v>
      </c>
      <c r="G620" s="15" t="s">
        <v>36</v>
      </c>
      <c r="H620" s="17" t="s">
        <v>25</v>
      </c>
      <c r="I620" s="18" t="s">
        <v>26</v>
      </c>
      <c r="J620" s="15" t="n">
        <v>2018</v>
      </c>
      <c r="K620" s="19" t="s">
        <v>763</v>
      </c>
      <c r="L620" s="15" t="s">
        <v>28</v>
      </c>
      <c r="M620" s="15" t="s">
        <v>33</v>
      </c>
      <c r="N620" s="20"/>
      <c r="O620" s="15"/>
      <c r="P620" s="15"/>
      <c r="Q620" s="21"/>
      <c r="R620" s="21"/>
      <c r="S620" s="21"/>
      <c r="T620" s="28"/>
      <c r="U620" s="24"/>
    </row>
    <row r="621" s="25" customFormat="true" ht="41.4" hidden="false" customHeight="false" outlineLevel="0" collapsed="false">
      <c r="A621" s="36" t="s">
        <v>1528</v>
      </c>
      <c r="B621" s="26" t="s">
        <v>1529</v>
      </c>
      <c r="C621" s="14" t="s">
        <v>142</v>
      </c>
      <c r="D621" s="15" t="n">
        <v>4</v>
      </c>
      <c r="E621" s="27" t="n">
        <f aca="false">F621/2</f>
        <v>6178</v>
      </c>
      <c r="F621" s="16" t="n">
        <v>12356</v>
      </c>
      <c r="G621" s="15" t="s">
        <v>36</v>
      </c>
      <c r="H621" s="17" t="s">
        <v>25</v>
      </c>
      <c r="I621" s="18" t="s">
        <v>26</v>
      </c>
      <c r="J621" s="15" t="n">
        <v>2018</v>
      </c>
      <c r="K621" s="19" t="s">
        <v>27</v>
      </c>
      <c r="L621" s="15" t="s">
        <v>28</v>
      </c>
      <c r="M621" s="15" t="s">
        <v>33</v>
      </c>
      <c r="N621" s="17" t="s">
        <v>126</v>
      </c>
      <c r="O621" s="15" t="s">
        <v>203</v>
      </c>
      <c r="P621" s="15"/>
      <c r="Q621" s="21" t="s">
        <v>78</v>
      </c>
      <c r="R621" s="21"/>
      <c r="S621" s="21"/>
      <c r="T621" s="28"/>
      <c r="U621" s="24"/>
    </row>
    <row r="622" s="25" customFormat="true" ht="41.4" hidden="false" customHeight="false" outlineLevel="0" collapsed="false">
      <c r="A622" s="36" t="s">
        <v>1530</v>
      </c>
      <c r="B622" s="26" t="s">
        <v>1531</v>
      </c>
      <c r="C622" s="14" t="s">
        <v>1532</v>
      </c>
      <c r="D622" s="15" t="n">
        <v>12</v>
      </c>
      <c r="E622" s="27" t="n">
        <v>1980</v>
      </c>
      <c r="F622" s="16" t="n">
        <v>3960</v>
      </c>
      <c r="G622" s="15" t="s">
        <v>36</v>
      </c>
      <c r="H622" s="17" t="s">
        <v>25</v>
      </c>
      <c r="I622" s="18" t="s">
        <v>26</v>
      </c>
      <c r="J622" s="15" t="n">
        <v>2016</v>
      </c>
      <c r="K622" s="19" t="s">
        <v>65</v>
      </c>
      <c r="L622" s="15" t="s">
        <v>28</v>
      </c>
      <c r="M622" s="15" t="s">
        <v>33</v>
      </c>
      <c r="N622" s="17" t="s">
        <v>649</v>
      </c>
      <c r="O622" s="15"/>
      <c r="P622" s="15"/>
      <c r="Q622" s="21" t="s">
        <v>78</v>
      </c>
      <c r="R622" s="21"/>
      <c r="S622" s="21"/>
      <c r="T622" s="28"/>
      <c r="U622" s="24"/>
    </row>
    <row r="623" s="25" customFormat="true" ht="69" hidden="false" customHeight="false" outlineLevel="0" collapsed="false">
      <c r="A623" s="36" t="s">
        <v>1533</v>
      </c>
      <c r="B623" s="26" t="s">
        <v>1534</v>
      </c>
      <c r="C623" s="14" t="s">
        <v>1332</v>
      </c>
      <c r="D623" s="15" t="n">
        <v>6</v>
      </c>
      <c r="E623" s="27" t="n">
        <f aca="false">F623/2</f>
        <v>50</v>
      </c>
      <c r="F623" s="16" t="n">
        <v>100</v>
      </c>
      <c r="G623" s="15" t="s">
        <v>36</v>
      </c>
      <c r="H623" s="17" t="s">
        <v>25</v>
      </c>
      <c r="I623" s="18" t="s">
        <v>26</v>
      </c>
      <c r="J623" s="15" t="n">
        <v>2017</v>
      </c>
      <c r="K623" s="19" t="s">
        <v>1333</v>
      </c>
      <c r="L623" s="15" t="s">
        <v>28</v>
      </c>
      <c r="M623" s="15" t="s">
        <v>33</v>
      </c>
      <c r="N623" s="17"/>
      <c r="O623" s="15"/>
      <c r="P623" s="15"/>
      <c r="Q623" s="21" t="s">
        <v>78</v>
      </c>
      <c r="R623" s="21"/>
      <c r="S623" s="21"/>
      <c r="T623" s="28"/>
      <c r="U623" s="24"/>
      <c r="V623" s="37"/>
      <c r="W623" s="37"/>
    </row>
    <row r="624" s="25" customFormat="true" ht="41.4" hidden="false" customHeight="false" outlineLevel="0" collapsed="false">
      <c r="A624" s="36" t="s">
        <v>1535</v>
      </c>
      <c r="B624" s="26" t="s">
        <v>1536</v>
      </c>
      <c r="C624" s="14" t="s">
        <v>1081</v>
      </c>
      <c r="D624" s="15" t="n">
        <v>4</v>
      </c>
      <c r="E624" s="27" t="n">
        <f aca="false">F624/2</f>
        <v>500</v>
      </c>
      <c r="F624" s="16" t="n">
        <v>1000</v>
      </c>
      <c r="G624" s="15" t="s">
        <v>36</v>
      </c>
      <c r="H624" s="17" t="s">
        <v>25</v>
      </c>
      <c r="I624" s="18" t="s">
        <v>26</v>
      </c>
      <c r="J624" s="15" t="n">
        <v>2021</v>
      </c>
      <c r="K624" s="19" t="s">
        <v>27</v>
      </c>
      <c r="L624" s="15" t="s">
        <v>28</v>
      </c>
      <c r="M624" s="15" t="s">
        <v>33</v>
      </c>
      <c r="N624" s="17"/>
      <c r="O624" s="15"/>
      <c r="P624" s="15"/>
      <c r="Q624" s="21"/>
      <c r="R624" s="21"/>
      <c r="S624" s="21"/>
      <c r="T624" s="28"/>
      <c r="U624" s="34"/>
    </row>
    <row r="625" s="25" customFormat="true" ht="41.4" hidden="false" customHeight="false" outlineLevel="0" collapsed="false">
      <c r="A625" s="36" t="s">
        <v>1537</v>
      </c>
      <c r="B625" s="26"/>
      <c r="C625" s="14" t="s">
        <v>1538</v>
      </c>
      <c r="D625" s="15" t="n">
        <v>6</v>
      </c>
      <c r="E625" s="27" t="n">
        <f aca="false">F625/2</f>
        <v>900</v>
      </c>
      <c r="F625" s="16" t="n">
        <v>1800</v>
      </c>
      <c r="G625" s="15" t="s">
        <v>36</v>
      </c>
      <c r="H625" s="17" t="s">
        <v>25</v>
      </c>
      <c r="I625" s="18" t="s">
        <v>26</v>
      </c>
      <c r="J625" s="15" t="n">
        <v>2023</v>
      </c>
      <c r="K625" s="19" t="s">
        <v>27</v>
      </c>
      <c r="L625" s="15" t="s">
        <v>28</v>
      </c>
      <c r="M625" s="15" t="s">
        <v>33</v>
      </c>
      <c r="N625" s="20"/>
      <c r="O625" s="15"/>
      <c r="P625" s="15"/>
      <c r="Q625" s="21"/>
      <c r="R625" s="21"/>
      <c r="S625" s="21"/>
      <c r="T625" s="28"/>
      <c r="U625" s="34"/>
    </row>
    <row r="626" s="25" customFormat="true" ht="41.4" hidden="false" customHeight="false" outlineLevel="0" collapsed="false">
      <c r="A626" s="36" t="s">
        <v>1539</v>
      </c>
      <c r="B626" s="26" t="s">
        <v>1540</v>
      </c>
      <c r="C626" s="14"/>
      <c r="D626" s="15" t="n">
        <v>6</v>
      </c>
      <c r="E626" s="27" t="n">
        <f aca="false">F626/2</f>
        <v>600</v>
      </c>
      <c r="F626" s="16" t="n">
        <v>1200</v>
      </c>
      <c r="G626" s="15" t="s">
        <v>36</v>
      </c>
      <c r="H626" s="17" t="s">
        <v>25</v>
      </c>
      <c r="I626" s="18" t="s">
        <v>26</v>
      </c>
      <c r="J626" s="15" t="n">
        <v>2018</v>
      </c>
      <c r="K626" s="19" t="s">
        <v>65</v>
      </c>
      <c r="L626" s="15" t="s">
        <v>28</v>
      </c>
      <c r="M626" s="15" t="s">
        <v>33</v>
      </c>
      <c r="N626" s="17" t="s">
        <v>649</v>
      </c>
      <c r="O626" s="15"/>
      <c r="P626" s="15"/>
      <c r="Q626" s="21" t="s">
        <v>78</v>
      </c>
      <c r="R626" s="21"/>
      <c r="S626" s="21"/>
      <c r="T626" s="28"/>
      <c r="U626" s="24"/>
    </row>
    <row r="627" s="25" customFormat="true" ht="41.4" hidden="false" customHeight="false" outlineLevel="0" collapsed="false">
      <c r="A627" s="36" t="s">
        <v>1541</v>
      </c>
      <c r="B627" s="26" t="s">
        <v>1542</v>
      </c>
      <c r="C627" s="14" t="s">
        <v>1543</v>
      </c>
      <c r="D627" s="15" t="n">
        <v>4</v>
      </c>
      <c r="E627" s="27" t="n">
        <f aca="false">F627/2</f>
        <v>833.5</v>
      </c>
      <c r="F627" s="16" t="n">
        <v>1667</v>
      </c>
      <c r="G627" s="15" t="s">
        <v>36</v>
      </c>
      <c r="H627" s="17" t="s">
        <v>25</v>
      </c>
      <c r="I627" s="18" t="s">
        <v>26</v>
      </c>
      <c r="J627" s="15" t="n">
        <v>2021</v>
      </c>
      <c r="K627" s="19" t="s">
        <v>37</v>
      </c>
      <c r="L627" s="15" t="s">
        <v>28</v>
      </c>
      <c r="M627" s="15" t="s">
        <v>33</v>
      </c>
      <c r="N627" s="20"/>
      <c r="O627" s="15"/>
      <c r="P627" s="15"/>
      <c r="Q627" s="21"/>
      <c r="R627" s="21"/>
      <c r="S627" s="21"/>
      <c r="T627" s="28"/>
      <c r="U627" s="24"/>
    </row>
    <row r="628" s="25" customFormat="true" ht="41.4" hidden="false" customHeight="false" outlineLevel="0" collapsed="false">
      <c r="A628" s="36" t="s">
        <v>1544</v>
      </c>
      <c r="B628" s="26" t="s">
        <v>1545</v>
      </c>
      <c r="C628" s="14" t="s">
        <v>1543</v>
      </c>
      <c r="D628" s="15" t="n">
        <v>4</v>
      </c>
      <c r="E628" s="27" t="n">
        <f aca="false">F628/2</f>
        <v>833.5</v>
      </c>
      <c r="F628" s="16" t="n">
        <v>1667</v>
      </c>
      <c r="G628" s="15" t="s">
        <v>36</v>
      </c>
      <c r="H628" s="17" t="s">
        <v>25</v>
      </c>
      <c r="I628" s="18" t="s">
        <v>26</v>
      </c>
      <c r="J628" s="15" t="n">
        <v>2021</v>
      </c>
      <c r="K628" s="19" t="s">
        <v>37</v>
      </c>
      <c r="L628" s="15" t="s">
        <v>28</v>
      </c>
      <c r="M628" s="15" t="s">
        <v>33</v>
      </c>
      <c r="N628" s="20"/>
      <c r="O628" s="15"/>
      <c r="P628" s="15"/>
      <c r="Q628" s="21"/>
      <c r="R628" s="21"/>
      <c r="S628" s="21"/>
      <c r="T628" s="28"/>
      <c r="U628" s="24"/>
    </row>
    <row r="629" s="25" customFormat="true" ht="41.4" hidden="false" customHeight="false" outlineLevel="0" collapsed="false">
      <c r="A629" s="36" t="s">
        <v>1546</v>
      </c>
      <c r="B629" s="26" t="s">
        <v>1547</v>
      </c>
      <c r="C629" s="14" t="s">
        <v>1543</v>
      </c>
      <c r="D629" s="15" t="n">
        <v>4</v>
      </c>
      <c r="E629" s="27" t="n">
        <f aca="false">F629/2</f>
        <v>833.5</v>
      </c>
      <c r="F629" s="16" t="n">
        <v>1667</v>
      </c>
      <c r="G629" s="15" t="s">
        <v>36</v>
      </c>
      <c r="H629" s="17" t="s">
        <v>25</v>
      </c>
      <c r="I629" s="18" t="s">
        <v>26</v>
      </c>
      <c r="J629" s="15" t="n">
        <v>2021</v>
      </c>
      <c r="K629" s="19" t="s">
        <v>37</v>
      </c>
      <c r="L629" s="15" t="s">
        <v>28</v>
      </c>
      <c r="M629" s="15" t="s">
        <v>33</v>
      </c>
      <c r="N629" s="20"/>
      <c r="O629" s="15"/>
      <c r="P629" s="15"/>
      <c r="Q629" s="21"/>
      <c r="R629" s="21"/>
      <c r="S629" s="21"/>
      <c r="T629" s="28"/>
      <c r="U629" s="24"/>
    </row>
    <row r="630" s="25" customFormat="true" ht="41.4" hidden="false" customHeight="false" outlineLevel="0" collapsed="false">
      <c r="A630" s="36" t="s">
        <v>1548</v>
      </c>
      <c r="B630" s="26"/>
      <c r="C630" s="14" t="s">
        <v>1549</v>
      </c>
      <c r="D630" s="15" t="n">
        <v>4</v>
      </c>
      <c r="E630" s="27" t="n">
        <f aca="false">F630/2</f>
        <v>1600</v>
      </c>
      <c r="F630" s="16" t="n">
        <f aca="false">4*800</f>
        <v>3200</v>
      </c>
      <c r="G630" s="15" t="s">
        <v>36</v>
      </c>
      <c r="H630" s="17" t="s">
        <v>25</v>
      </c>
      <c r="I630" s="18" t="s">
        <v>26</v>
      </c>
      <c r="J630" s="15" t="n">
        <v>2024</v>
      </c>
      <c r="K630" s="19" t="s">
        <v>1550</v>
      </c>
      <c r="L630" s="15" t="s">
        <v>28</v>
      </c>
      <c r="M630" s="15" t="s">
        <v>33</v>
      </c>
      <c r="N630" s="17"/>
      <c r="O630" s="15"/>
      <c r="P630" s="15"/>
      <c r="Q630" s="21" t="s">
        <v>78</v>
      </c>
      <c r="R630" s="21"/>
      <c r="S630" s="21"/>
      <c r="T630" s="28"/>
      <c r="U630" s="24"/>
    </row>
    <row r="631" s="25" customFormat="true" ht="41.4" hidden="false" customHeight="false" outlineLevel="0" collapsed="false">
      <c r="A631" s="36" t="s">
        <v>1551</v>
      </c>
      <c r="B631" s="26"/>
      <c r="C631" s="14"/>
      <c r="D631" s="15"/>
      <c r="E631" s="27" t="n">
        <f aca="false">F631/2</f>
        <v>50</v>
      </c>
      <c r="F631" s="16" t="n">
        <v>100</v>
      </c>
      <c r="G631" s="15" t="s">
        <v>36</v>
      </c>
      <c r="H631" s="17" t="s">
        <v>25</v>
      </c>
      <c r="I631" s="18" t="s">
        <v>26</v>
      </c>
      <c r="J631" s="15" t="n">
        <v>2022</v>
      </c>
      <c r="K631" s="19" t="s">
        <v>27</v>
      </c>
      <c r="L631" s="15" t="s">
        <v>28</v>
      </c>
      <c r="M631" s="15" t="s">
        <v>33</v>
      </c>
      <c r="N631" s="17"/>
      <c r="O631" s="15"/>
      <c r="P631" s="15"/>
      <c r="Q631" s="21"/>
      <c r="R631" s="21"/>
      <c r="S631" s="21"/>
      <c r="T631" s="28"/>
      <c r="U631" s="24"/>
    </row>
    <row r="632" s="25" customFormat="true" ht="41.4" hidden="false" customHeight="false" outlineLevel="0" collapsed="false">
      <c r="A632" s="36" t="s">
        <v>1552</v>
      </c>
      <c r="B632" s="26" t="s">
        <v>1553</v>
      </c>
      <c r="C632" s="14" t="s">
        <v>1554</v>
      </c>
      <c r="D632" s="15" t="n">
        <v>6</v>
      </c>
      <c r="E632" s="27" t="n">
        <f aca="false">F632/2</f>
        <v>50</v>
      </c>
      <c r="F632" s="16" t="n">
        <v>100</v>
      </c>
      <c r="G632" s="15" t="s">
        <v>36</v>
      </c>
      <c r="H632" s="17" t="s">
        <v>25</v>
      </c>
      <c r="I632" s="18" t="s">
        <v>26</v>
      </c>
      <c r="J632" s="15" t="n">
        <v>2022</v>
      </c>
      <c r="K632" s="19" t="s">
        <v>1550</v>
      </c>
      <c r="L632" s="15" t="s">
        <v>28</v>
      </c>
      <c r="M632" s="15" t="s">
        <v>33</v>
      </c>
      <c r="N632" s="17"/>
      <c r="O632" s="15"/>
      <c r="P632" s="15"/>
      <c r="Q632" s="21"/>
      <c r="R632" s="21"/>
      <c r="S632" s="21"/>
      <c r="T632" s="28"/>
      <c r="U632" s="24"/>
    </row>
    <row r="633" s="25" customFormat="true" ht="41.4" hidden="false" customHeight="false" outlineLevel="0" collapsed="false">
      <c r="A633" s="36" t="s">
        <v>1555</v>
      </c>
      <c r="B633" s="26" t="s">
        <v>1556</v>
      </c>
      <c r="C633" s="14" t="s">
        <v>1557</v>
      </c>
      <c r="D633" s="15" t="n">
        <v>12</v>
      </c>
      <c r="E633" s="27" t="n">
        <f aca="false">F633/2</f>
        <v>9360</v>
      </c>
      <c r="F633" s="16" t="n">
        <f aca="false">15600*1.2</f>
        <v>18720</v>
      </c>
      <c r="G633" s="15" t="s">
        <v>36</v>
      </c>
      <c r="H633" s="17" t="s">
        <v>25</v>
      </c>
      <c r="I633" s="18" t="s">
        <v>26</v>
      </c>
      <c r="J633" s="15" t="n">
        <v>2017</v>
      </c>
      <c r="K633" s="19" t="s">
        <v>553</v>
      </c>
      <c r="L633" s="15" t="s">
        <v>28</v>
      </c>
      <c r="M633" s="15" t="s">
        <v>33</v>
      </c>
      <c r="N633" s="17" t="s">
        <v>153</v>
      </c>
      <c r="O633" s="15"/>
      <c r="P633" s="15"/>
      <c r="Q633" s="21" t="s">
        <v>78</v>
      </c>
      <c r="R633" s="21"/>
      <c r="S633" s="21"/>
      <c r="T633" s="28"/>
      <c r="U633" s="24"/>
    </row>
    <row r="634" s="25" customFormat="true" ht="41.4" hidden="false" customHeight="false" outlineLevel="0" collapsed="false">
      <c r="A634" s="36" t="s">
        <v>1558</v>
      </c>
      <c r="B634" s="26" t="s">
        <v>1559</v>
      </c>
      <c r="C634" s="14" t="s">
        <v>1549</v>
      </c>
      <c r="D634" s="15" t="n">
        <v>12</v>
      </c>
      <c r="E634" s="27" t="n">
        <f aca="false">F634/2</f>
        <v>10200</v>
      </c>
      <c r="F634" s="16" t="n">
        <f aca="false">12*1700</f>
        <v>20400</v>
      </c>
      <c r="G634" s="15" t="s">
        <v>36</v>
      </c>
      <c r="H634" s="17" t="s">
        <v>25</v>
      </c>
      <c r="I634" s="18" t="s">
        <v>26</v>
      </c>
      <c r="J634" s="15" t="n">
        <v>2017</v>
      </c>
      <c r="K634" s="19" t="s">
        <v>1550</v>
      </c>
      <c r="L634" s="15" t="s">
        <v>28</v>
      </c>
      <c r="M634" s="15" t="s">
        <v>33</v>
      </c>
      <c r="N634" s="17" t="s">
        <v>87</v>
      </c>
      <c r="O634" s="15"/>
      <c r="P634" s="15"/>
      <c r="Q634" s="21" t="s">
        <v>78</v>
      </c>
      <c r="R634" s="21"/>
      <c r="S634" s="21"/>
      <c r="T634" s="28"/>
      <c r="U634" s="24"/>
    </row>
    <row r="635" s="25" customFormat="true" ht="41.4" hidden="false" customHeight="false" outlineLevel="0" collapsed="false">
      <c r="A635" s="36" t="s">
        <v>1560</v>
      </c>
      <c r="B635" s="26" t="s">
        <v>1561</v>
      </c>
      <c r="C635" s="14" t="s">
        <v>142</v>
      </c>
      <c r="D635" s="15" t="n">
        <v>6</v>
      </c>
      <c r="E635" s="27" t="n">
        <f aca="false">F635/2</f>
        <v>9266</v>
      </c>
      <c r="F635" s="16" t="n">
        <v>18532</v>
      </c>
      <c r="G635" s="15" t="s">
        <v>36</v>
      </c>
      <c r="H635" s="17" t="s">
        <v>25</v>
      </c>
      <c r="I635" s="18" t="s">
        <v>26</v>
      </c>
      <c r="J635" s="15" t="n">
        <v>2018</v>
      </c>
      <c r="K635" s="19" t="s">
        <v>27</v>
      </c>
      <c r="L635" s="15" t="s">
        <v>28</v>
      </c>
      <c r="M635" s="15" t="s">
        <v>33</v>
      </c>
      <c r="N635" s="17" t="s">
        <v>126</v>
      </c>
      <c r="O635" s="15" t="s">
        <v>203</v>
      </c>
      <c r="P635" s="15"/>
      <c r="Q635" s="21" t="s">
        <v>78</v>
      </c>
      <c r="R635" s="21"/>
      <c r="S635" s="21"/>
      <c r="T635" s="28"/>
      <c r="U635" s="24"/>
    </row>
    <row r="636" s="25" customFormat="true" ht="41.4" hidden="false" customHeight="false" outlineLevel="0" collapsed="false">
      <c r="A636" s="36" t="s">
        <v>1562</v>
      </c>
      <c r="B636" s="26"/>
      <c r="C636" s="14" t="s">
        <v>142</v>
      </c>
      <c r="D636" s="15" t="n">
        <v>6</v>
      </c>
      <c r="E636" s="27" t="n">
        <f aca="false">F636/2</f>
        <v>5850</v>
      </c>
      <c r="F636" s="16" t="n">
        <v>11700</v>
      </c>
      <c r="G636" s="15" t="s">
        <v>36</v>
      </c>
      <c r="H636" s="17" t="s">
        <v>25</v>
      </c>
      <c r="I636" s="18" t="s">
        <v>26</v>
      </c>
      <c r="J636" s="15" t="n">
        <v>2023</v>
      </c>
      <c r="K636" s="19" t="s">
        <v>27</v>
      </c>
      <c r="L636" s="15" t="s">
        <v>28</v>
      </c>
      <c r="M636" s="15" t="s">
        <v>33</v>
      </c>
      <c r="N636" s="17" t="s">
        <v>126</v>
      </c>
      <c r="O636" s="15"/>
      <c r="P636" s="15"/>
      <c r="Q636" s="21" t="s">
        <v>78</v>
      </c>
      <c r="R636" s="21"/>
      <c r="S636" s="21"/>
      <c r="T636" s="28"/>
      <c r="U636" s="24"/>
    </row>
    <row r="637" s="25" customFormat="true" ht="41.4" hidden="false" customHeight="false" outlineLevel="0" collapsed="false">
      <c r="A637" s="36" t="s">
        <v>1563</v>
      </c>
      <c r="B637" s="26" t="s">
        <v>1564</v>
      </c>
      <c r="C637" s="14" t="s">
        <v>1565</v>
      </c>
      <c r="D637" s="15" t="n">
        <v>4</v>
      </c>
      <c r="E637" s="27" t="n">
        <f aca="false">F637/2</f>
        <v>3120</v>
      </c>
      <c r="F637" s="16" t="n">
        <f aca="false">5200*1.2</f>
        <v>6240</v>
      </c>
      <c r="G637" s="15" t="s">
        <v>36</v>
      </c>
      <c r="H637" s="17" t="s">
        <v>25</v>
      </c>
      <c r="I637" s="18" t="s">
        <v>26</v>
      </c>
      <c r="J637" s="15" t="n">
        <v>2018</v>
      </c>
      <c r="K637" s="19" t="s">
        <v>1566</v>
      </c>
      <c r="L637" s="15" t="s">
        <v>28</v>
      </c>
      <c r="M637" s="15" t="s">
        <v>33</v>
      </c>
      <c r="N637" s="17"/>
      <c r="O637" s="15"/>
      <c r="P637" s="15"/>
      <c r="Q637" s="21" t="s">
        <v>78</v>
      </c>
      <c r="R637" s="21"/>
      <c r="S637" s="21"/>
      <c r="T637" s="31" t="n">
        <v>45880</v>
      </c>
      <c r="U637" s="24"/>
    </row>
    <row r="638" s="25" customFormat="true" ht="41.4" hidden="false" customHeight="false" outlineLevel="0" collapsed="false">
      <c r="A638" s="36" t="s">
        <v>1567</v>
      </c>
      <c r="B638" s="26" t="s">
        <v>1568</v>
      </c>
      <c r="C638" s="14"/>
      <c r="D638" s="15" t="n">
        <v>6</v>
      </c>
      <c r="E638" s="27" t="n">
        <f aca="false">F638/2</f>
        <v>3300</v>
      </c>
      <c r="F638" s="16" t="n">
        <v>6600</v>
      </c>
      <c r="G638" s="15" t="s">
        <v>36</v>
      </c>
      <c r="H638" s="17" t="s">
        <v>25</v>
      </c>
      <c r="I638" s="18" t="s">
        <v>26</v>
      </c>
      <c r="J638" s="15" t="n">
        <v>2017</v>
      </c>
      <c r="K638" s="19" t="s">
        <v>27</v>
      </c>
      <c r="L638" s="15" t="s">
        <v>28</v>
      </c>
      <c r="M638" s="15" t="s">
        <v>33</v>
      </c>
      <c r="N638" s="17"/>
      <c r="O638" s="15"/>
      <c r="P638" s="15"/>
      <c r="Q638" s="21" t="s">
        <v>78</v>
      </c>
      <c r="R638" s="21"/>
      <c r="S638" s="21"/>
      <c r="T638" s="28"/>
      <c r="U638" s="24"/>
    </row>
    <row r="639" s="25" customFormat="true" ht="41.4" hidden="false" customHeight="false" outlineLevel="0" collapsed="false">
      <c r="A639" s="36" t="s">
        <v>1569</v>
      </c>
      <c r="B639" s="26" t="s">
        <v>1570</v>
      </c>
      <c r="C639" s="14" t="s">
        <v>246</v>
      </c>
      <c r="D639" s="15" t="n">
        <v>6</v>
      </c>
      <c r="E639" s="27" t="n">
        <f aca="false">F639/2</f>
        <v>12820</v>
      </c>
      <c r="F639" s="38" t="n">
        <v>25640</v>
      </c>
      <c r="G639" s="15" t="s">
        <v>36</v>
      </c>
      <c r="H639" s="17" t="s">
        <v>25</v>
      </c>
      <c r="I639" s="18" t="s">
        <v>26</v>
      </c>
      <c r="J639" s="15" t="n">
        <v>2017</v>
      </c>
      <c r="K639" s="19" t="s">
        <v>27</v>
      </c>
      <c r="L639" s="15" t="s">
        <v>28</v>
      </c>
      <c r="M639" s="15" t="s">
        <v>33</v>
      </c>
      <c r="N639" s="20" t="s">
        <v>153</v>
      </c>
      <c r="O639" s="15"/>
      <c r="P639" s="15"/>
      <c r="Q639" s="21" t="s">
        <v>247</v>
      </c>
      <c r="R639" s="21"/>
      <c r="S639" s="21"/>
      <c r="T639" s="31" t="n">
        <v>45882</v>
      </c>
      <c r="U639" s="24" t="s">
        <v>248</v>
      </c>
    </row>
    <row r="640" s="25" customFormat="true" ht="41.4" hidden="false" customHeight="false" outlineLevel="0" collapsed="false">
      <c r="A640" s="36" t="s">
        <v>1571</v>
      </c>
      <c r="B640" s="26" t="s">
        <v>1572</v>
      </c>
      <c r="C640" s="14" t="s">
        <v>246</v>
      </c>
      <c r="D640" s="15" t="n">
        <v>6</v>
      </c>
      <c r="E640" s="27" t="n">
        <f aca="false">F640/2</f>
        <v>12820</v>
      </c>
      <c r="F640" s="38" t="n">
        <v>25640</v>
      </c>
      <c r="G640" s="15" t="s">
        <v>36</v>
      </c>
      <c r="H640" s="17" t="s">
        <v>25</v>
      </c>
      <c r="I640" s="18" t="s">
        <v>26</v>
      </c>
      <c r="J640" s="15" t="n">
        <v>2017</v>
      </c>
      <c r="K640" s="19" t="s">
        <v>27</v>
      </c>
      <c r="L640" s="15" t="s">
        <v>28</v>
      </c>
      <c r="M640" s="15" t="s">
        <v>33</v>
      </c>
      <c r="N640" s="20" t="s">
        <v>153</v>
      </c>
      <c r="O640" s="15"/>
      <c r="P640" s="15"/>
      <c r="Q640" s="21" t="s">
        <v>247</v>
      </c>
      <c r="R640" s="21"/>
      <c r="S640" s="21"/>
      <c r="T640" s="31" t="n">
        <v>45882</v>
      </c>
      <c r="U640" s="24" t="s">
        <v>248</v>
      </c>
    </row>
    <row r="641" s="25" customFormat="true" ht="41.4" hidden="false" customHeight="false" outlineLevel="0" collapsed="false">
      <c r="A641" s="36" t="s">
        <v>1573</v>
      </c>
      <c r="B641" s="26" t="s">
        <v>1574</v>
      </c>
      <c r="C641" s="14" t="s">
        <v>246</v>
      </c>
      <c r="D641" s="15" t="n">
        <v>6</v>
      </c>
      <c r="E641" s="27" t="n">
        <f aca="false">F641/2</f>
        <v>12820</v>
      </c>
      <c r="F641" s="38" t="n">
        <v>25640</v>
      </c>
      <c r="G641" s="15" t="s">
        <v>36</v>
      </c>
      <c r="H641" s="17" t="s">
        <v>25</v>
      </c>
      <c r="I641" s="18" t="s">
        <v>26</v>
      </c>
      <c r="J641" s="15" t="n">
        <v>2017</v>
      </c>
      <c r="K641" s="19" t="s">
        <v>27</v>
      </c>
      <c r="L641" s="15" t="s">
        <v>28</v>
      </c>
      <c r="M641" s="15" t="s">
        <v>33</v>
      </c>
      <c r="N641" s="20" t="s">
        <v>66</v>
      </c>
      <c r="O641" s="15"/>
      <c r="P641" s="15"/>
      <c r="Q641" s="21" t="s">
        <v>247</v>
      </c>
      <c r="R641" s="21"/>
      <c r="S641" s="21"/>
      <c r="T641" s="31" t="n">
        <v>45882</v>
      </c>
      <c r="U641" s="24" t="s">
        <v>248</v>
      </c>
    </row>
    <row r="642" s="25" customFormat="true" ht="41.4" hidden="false" customHeight="false" outlineLevel="0" collapsed="false">
      <c r="A642" s="36" t="s">
        <v>1575</v>
      </c>
      <c r="B642" s="26" t="s">
        <v>1576</v>
      </c>
      <c r="C642" s="14" t="s">
        <v>246</v>
      </c>
      <c r="D642" s="15" t="n">
        <v>6</v>
      </c>
      <c r="E642" s="27" t="n">
        <f aca="false">F642/2</f>
        <v>11774</v>
      </c>
      <c r="F642" s="38" t="n">
        <v>23548</v>
      </c>
      <c r="G642" s="15" t="s">
        <v>36</v>
      </c>
      <c r="H642" s="17" t="s">
        <v>25</v>
      </c>
      <c r="I642" s="18" t="s">
        <v>26</v>
      </c>
      <c r="J642" s="15" t="n">
        <v>2017</v>
      </c>
      <c r="K642" s="19" t="s">
        <v>27</v>
      </c>
      <c r="L642" s="15" t="s">
        <v>28</v>
      </c>
      <c r="M642" s="15" t="s">
        <v>33</v>
      </c>
      <c r="N642" s="17" t="s">
        <v>712</v>
      </c>
      <c r="O642" s="15"/>
      <c r="P642" s="15"/>
      <c r="Q642" s="21" t="s">
        <v>247</v>
      </c>
      <c r="R642" s="21"/>
      <c r="S642" s="21"/>
      <c r="T642" s="31" t="n">
        <v>45882</v>
      </c>
      <c r="U642" s="24" t="s">
        <v>248</v>
      </c>
    </row>
    <row r="643" s="25" customFormat="true" ht="41.4" hidden="false" customHeight="false" outlineLevel="0" collapsed="false">
      <c r="A643" s="36" t="s">
        <v>1577</v>
      </c>
      <c r="B643" s="26" t="s">
        <v>1578</v>
      </c>
      <c r="C643" s="14" t="s">
        <v>246</v>
      </c>
      <c r="D643" s="15" t="n">
        <v>6</v>
      </c>
      <c r="E643" s="27" t="n">
        <f aca="false">F643/2</f>
        <v>3012.5</v>
      </c>
      <c r="F643" s="38" t="n">
        <v>6025</v>
      </c>
      <c r="G643" s="15" t="s">
        <v>24</v>
      </c>
      <c r="H643" s="17" t="s">
        <v>25</v>
      </c>
      <c r="I643" s="18" t="s">
        <v>26</v>
      </c>
      <c r="J643" s="15" t="n">
        <v>2000</v>
      </c>
      <c r="K643" s="19" t="s">
        <v>27</v>
      </c>
      <c r="L643" s="15" t="s">
        <v>28</v>
      </c>
      <c r="M643" s="15" t="s">
        <v>33</v>
      </c>
      <c r="N643" s="17" t="s">
        <v>160</v>
      </c>
      <c r="O643" s="15"/>
      <c r="P643" s="15"/>
      <c r="Q643" s="21" t="s">
        <v>280</v>
      </c>
      <c r="R643" s="21"/>
      <c r="S643" s="21"/>
      <c r="T643" s="31" t="n">
        <v>45882</v>
      </c>
      <c r="U643" s="24" t="s">
        <v>1579</v>
      </c>
    </row>
    <row r="644" s="25" customFormat="true" ht="41.4" hidden="false" customHeight="false" outlineLevel="0" collapsed="false">
      <c r="A644" s="36" t="s">
        <v>1580</v>
      </c>
      <c r="B644" s="26"/>
      <c r="C644" s="14" t="s">
        <v>1276</v>
      </c>
      <c r="D644" s="15" t="n">
        <v>6</v>
      </c>
      <c r="E644" s="16" t="n">
        <f aca="false">F644/2</f>
        <v>9000</v>
      </c>
      <c r="F644" s="16" t="n">
        <v>18000</v>
      </c>
      <c r="G644" s="15" t="s">
        <v>36</v>
      </c>
      <c r="H644" s="17" t="s">
        <v>25</v>
      </c>
      <c r="I644" s="18" t="s">
        <v>26</v>
      </c>
      <c r="J644" s="15" t="n">
        <v>2024</v>
      </c>
      <c r="K644" s="19" t="s">
        <v>27</v>
      </c>
      <c r="L644" s="15" t="s">
        <v>28</v>
      </c>
      <c r="M644" s="15" t="s">
        <v>33</v>
      </c>
      <c r="N644" s="17"/>
      <c r="O644" s="15"/>
      <c r="P644" s="15"/>
      <c r="Q644" s="21"/>
      <c r="R644" s="21"/>
      <c r="S644" s="21"/>
      <c r="T644" s="28"/>
      <c r="U644" s="34"/>
    </row>
    <row r="645" s="25" customFormat="true" ht="41.4" hidden="false" customHeight="false" outlineLevel="0" collapsed="false">
      <c r="A645" s="36" t="s">
        <v>1581</v>
      </c>
      <c r="B645" s="26" t="s">
        <v>1582</v>
      </c>
      <c r="C645" s="14" t="s">
        <v>246</v>
      </c>
      <c r="D645" s="15" t="n">
        <v>12</v>
      </c>
      <c r="E645" s="27" t="n">
        <f aca="false">F645/2</f>
        <v>25640</v>
      </c>
      <c r="F645" s="38" t="n">
        <v>51280</v>
      </c>
      <c r="G645" s="15" t="s">
        <v>36</v>
      </c>
      <c r="H645" s="17" t="s">
        <v>25</v>
      </c>
      <c r="I645" s="18" t="s">
        <v>26</v>
      </c>
      <c r="J645" s="15" t="n">
        <v>2017</v>
      </c>
      <c r="K645" s="19" t="s">
        <v>27</v>
      </c>
      <c r="L645" s="15" t="s">
        <v>28</v>
      </c>
      <c r="M645" s="15" t="s">
        <v>33</v>
      </c>
      <c r="N645" s="20" t="s">
        <v>153</v>
      </c>
      <c r="O645" s="15"/>
      <c r="P645" s="15"/>
      <c r="Q645" s="21" t="s">
        <v>247</v>
      </c>
      <c r="R645" s="21"/>
      <c r="S645" s="21"/>
      <c r="T645" s="31" t="n">
        <v>45882</v>
      </c>
      <c r="U645" s="24" t="s">
        <v>248</v>
      </c>
    </row>
    <row r="646" s="25" customFormat="true" ht="41.4" hidden="false" customHeight="false" outlineLevel="0" collapsed="false">
      <c r="A646" s="36" t="s">
        <v>1583</v>
      </c>
      <c r="B646" s="26" t="s">
        <v>1584</v>
      </c>
      <c r="C646" s="14" t="s">
        <v>246</v>
      </c>
      <c r="D646" s="15" t="n">
        <v>6</v>
      </c>
      <c r="E646" s="27" t="n">
        <f aca="false">F646/2</f>
        <v>12820</v>
      </c>
      <c r="F646" s="38" t="n">
        <v>25640</v>
      </c>
      <c r="G646" s="15" t="s">
        <v>36</v>
      </c>
      <c r="H646" s="17" t="s">
        <v>25</v>
      </c>
      <c r="I646" s="18" t="s">
        <v>26</v>
      </c>
      <c r="J646" s="15" t="n">
        <v>2017</v>
      </c>
      <c r="K646" s="19" t="s">
        <v>27</v>
      </c>
      <c r="L646" s="15" t="s">
        <v>28</v>
      </c>
      <c r="M646" s="15" t="s">
        <v>33</v>
      </c>
      <c r="N646" s="20"/>
      <c r="O646" s="15"/>
      <c r="P646" s="15"/>
      <c r="Q646" s="21" t="s">
        <v>247</v>
      </c>
      <c r="R646" s="21"/>
      <c r="S646" s="21"/>
      <c r="T646" s="31" t="n">
        <v>45882</v>
      </c>
      <c r="U646" s="24" t="s">
        <v>248</v>
      </c>
    </row>
    <row r="647" s="25" customFormat="true" ht="41.4" hidden="false" customHeight="false" outlineLevel="0" collapsed="false">
      <c r="A647" s="36" t="s">
        <v>1585</v>
      </c>
      <c r="B647" s="26" t="s">
        <v>1586</v>
      </c>
      <c r="C647" s="14" t="s">
        <v>246</v>
      </c>
      <c r="D647" s="15" t="n">
        <v>6</v>
      </c>
      <c r="E647" s="27" t="n">
        <f aca="false">F647/2</f>
        <v>11774</v>
      </c>
      <c r="F647" s="38" t="n">
        <v>23548</v>
      </c>
      <c r="G647" s="15" t="s">
        <v>36</v>
      </c>
      <c r="H647" s="17" t="s">
        <v>25</v>
      </c>
      <c r="I647" s="18" t="s">
        <v>26</v>
      </c>
      <c r="J647" s="15" t="n">
        <v>2017</v>
      </c>
      <c r="K647" s="19" t="s">
        <v>27</v>
      </c>
      <c r="L647" s="15" t="s">
        <v>28</v>
      </c>
      <c r="M647" s="15" t="s">
        <v>33</v>
      </c>
      <c r="N647" s="17" t="s">
        <v>153</v>
      </c>
      <c r="O647" s="15"/>
      <c r="P647" s="15"/>
      <c r="Q647" s="21" t="s">
        <v>247</v>
      </c>
      <c r="R647" s="21"/>
      <c r="S647" s="21"/>
      <c r="T647" s="31" t="n">
        <v>45882</v>
      </c>
      <c r="U647" s="24" t="s">
        <v>248</v>
      </c>
    </row>
    <row r="648" s="25" customFormat="true" ht="41.4" hidden="false" customHeight="false" outlineLevel="0" collapsed="false">
      <c r="A648" s="36" t="s">
        <v>1587</v>
      </c>
      <c r="B648" s="26" t="s">
        <v>1588</v>
      </c>
      <c r="C648" s="14" t="s">
        <v>246</v>
      </c>
      <c r="D648" s="15" t="n">
        <v>6</v>
      </c>
      <c r="E648" s="27" t="n">
        <f aca="false">F648/2</f>
        <v>11978.5</v>
      </c>
      <c r="F648" s="38" t="n">
        <v>23957</v>
      </c>
      <c r="G648" s="15" t="s">
        <v>36</v>
      </c>
      <c r="H648" s="17" t="s">
        <v>25</v>
      </c>
      <c r="I648" s="18" t="s">
        <v>26</v>
      </c>
      <c r="J648" s="15" t="n">
        <v>2017</v>
      </c>
      <c r="K648" s="19" t="s">
        <v>27</v>
      </c>
      <c r="L648" s="15" t="s">
        <v>28</v>
      </c>
      <c r="M648" s="15" t="s">
        <v>33</v>
      </c>
      <c r="N648" s="20" t="s">
        <v>397</v>
      </c>
      <c r="O648" s="15"/>
      <c r="P648" s="15"/>
      <c r="Q648" s="21" t="s">
        <v>247</v>
      </c>
      <c r="R648" s="21"/>
      <c r="S648" s="21"/>
      <c r="T648" s="31" t="n">
        <v>45882</v>
      </c>
      <c r="U648" s="24" t="s">
        <v>248</v>
      </c>
    </row>
    <row r="649" s="25" customFormat="true" ht="41.4" hidden="false" customHeight="false" outlineLevel="0" collapsed="false">
      <c r="A649" s="36" t="s">
        <v>1589</v>
      </c>
      <c r="B649" s="26" t="s">
        <v>1590</v>
      </c>
      <c r="C649" s="14" t="s">
        <v>988</v>
      </c>
      <c r="D649" s="15" t="n">
        <v>12</v>
      </c>
      <c r="E649" s="27" t="n">
        <f aca="false">F649/2</f>
        <v>2400</v>
      </c>
      <c r="F649" s="16" t="n">
        <v>4800</v>
      </c>
      <c r="G649" s="15" t="s">
        <v>354</v>
      </c>
      <c r="H649" s="17" t="s">
        <v>25</v>
      </c>
      <c r="I649" s="18" t="s">
        <v>26</v>
      </c>
      <c r="J649" s="15" t="n">
        <v>2017</v>
      </c>
      <c r="K649" s="19" t="s">
        <v>27</v>
      </c>
      <c r="L649" s="15" t="s">
        <v>28</v>
      </c>
      <c r="M649" s="15" t="s">
        <v>33</v>
      </c>
      <c r="N649" s="17" t="s">
        <v>40</v>
      </c>
      <c r="O649" s="15"/>
      <c r="P649" s="15"/>
      <c r="Q649" s="21" t="s">
        <v>41</v>
      </c>
      <c r="R649" s="21"/>
      <c r="S649" s="21"/>
      <c r="T649" s="28"/>
      <c r="U649" s="24"/>
    </row>
    <row r="650" s="25" customFormat="true" ht="41.4" hidden="false" customHeight="false" outlineLevel="0" collapsed="false">
      <c r="A650" s="36" t="s">
        <v>1591</v>
      </c>
      <c r="B650" s="26" t="s">
        <v>1590</v>
      </c>
      <c r="C650" s="14" t="s">
        <v>246</v>
      </c>
      <c r="D650" s="15" t="n">
        <v>6</v>
      </c>
      <c r="E650" s="27" t="n">
        <f aca="false">F650/2</f>
        <v>7853</v>
      </c>
      <c r="F650" s="38" t="n">
        <v>15706</v>
      </c>
      <c r="G650" s="15" t="s">
        <v>36</v>
      </c>
      <c r="H650" s="17" t="s">
        <v>25</v>
      </c>
      <c r="I650" s="18" t="s">
        <v>26</v>
      </c>
      <c r="J650" s="15" t="n">
        <v>2017</v>
      </c>
      <c r="K650" s="19" t="s">
        <v>27</v>
      </c>
      <c r="L650" s="15" t="s">
        <v>28</v>
      </c>
      <c r="M650" s="15" t="s">
        <v>33</v>
      </c>
      <c r="N650" s="17" t="s">
        <v>712</v>
      </c>
      <c r="O650" s="15"/>
      <c r="P650" s="15"/>
      <c r="Q650" s="21" t="s">
        <v>247</v>
      </c>
      <c r="R650" s="21"/>
      <c r="S650" s="21"/>
      <c r="T650" s="31" t="n">
        <v>45882</v>
      </c>
      <c r="U650" s="24" t="s">
        <v>248</v>
      </c>
    </row>
    <row r="651" s="25" customFormat="true" ht="41.4" hidden="false" customHeight="false" outlineLevel="0" collapsed="false">
      <c r="A651" s="36" t="s">
        <v>1592</v>
      </c>
      <c r="B651" s="26"/>
      <c r="C651" s="14" t="s">
        <v>1593</v>
      </c>
      <c r="D651" s="15" t="n">
        <v>5</v>
      </c>
      <c r="E651" s="16" t="n">
        <f aca="false">F651/2</f>
        <v>50</v>
      </c>
      <c r="F651" s="16" t="n">
        <v>100</v>
      </c>
      <c r="G651" s="15" t="s">
        <v>36</v>
      </c>
      <c r="H651" s="17" t="s">
        <v>25</v>
      </c>
      <c r="I651" s="18" t="s">
        <v>26</v>
      </c>
      <c r="J651" s="15" t="n">
        <v>2025</v>
      </c>
      <c r="K651" s="19" t="s">
        <v>27</v>
      </c>
      <c r="L651" s="15" t="s">
        <v>28</v>
      </c>
      <c r="M651" s="15" t="s">
        <v>33</v>
      </c>
      <c r="N651" s="17"/>
      <c r="O651" s="15"/>
      <c r="P651" s="15"/>
      <c r="Q651" s="21"/>
      <c r="R651" s="21"/>
      <c r="S651" s="21"/>
      <c r="T651" s="28"/>
      <c r="U651" s="24"/>
    </row>
    <row r="652" s="25" customFormat="true" ht="69" hidden="false" customHeight="false" outlineLevel="0" collapsed="false">
      <c r="A652" s="36" t="s">
        <v>1594</v>
      </c>
      <c r="B652" s="26" t="s">
        <v>1595</v>
      </c>
      <c r="C652" s="14" t="s">
        <v>1332</v>
      </c>
      <c r="D652" s="15" t="n">
        <v>4</v>
      </c>
      <c r="E652" s="27" t="n">
        <v>50</v>
      </c>
      <c r="F652" s="16" t="n">
        <v>100</v>
      </c>
      <c r="G652" s="15" t="s">
        <v>36</v>
      </c>
      <c r="H652" s="17" t="s">
        <v>25</v>
      </c>
      <c r="I652" s="18" t="s">
        <v>26</v>
      </c>
      <c r="J652" s="15" t="n">
        <v>2021</v>
      </c>
      <c r="K652" s="19" t="s">
        <v>1333</v>
      </c>
      <c r="L652" s="15" t="s">
        <v>28</v>
      </c>
      <c r="M652" s="15" t="s">
        <v>33</v>
      </c>
      <c r="N652" s="20"/>
      <c r="O652" s="15"/>
      <c r="P652" s="15"/>
      <c r="Q652" s="21"/>
      <c r="R652" s="21"/>
      <c r="S652" s="21"/>
      <c r="T652" s="28"/>
      <c r="U652" s="34"/>
      <c r="V652" s="37"/>
      <c r="W652" s="37"/>
    </row>
    <row r="653" s="25" customFormat="true" ht="69" hidden="false" customHeight="false" outlineLevel="0" collapsed="false">
      <c r="A653" s="36" t="s">
        <v>1596</v>
      </c>
      <c r="B653" s="26" t="s">
        <v>1597</v>
      </c>
      <c r="C653" s="14" t="s">
        <v>1332</v>
      </c>
      <c r="D653" s="15" t="n">
        <v>4</v>
      </c>
      <c r="E653" s="27" t="n">
        <v>50</v>
      </c>
      <c r="F653" s="16" t="n">
        <v>100</v>
      </c>
      <c r="G653" s="15" t="s">
        <v>36</v>
      </c>
      <c r="H653" s="17" t="s">
        <v>25</v>
      </c>
      <c r="I653" s="18" t="s">
        <v>26</v>
      </c>
      <c r="J653" s="15" t="n">
        <v>2021</v>
      </c>
      <c r="K653" s="19" t="s">
        <v>1333</v>
      </c>
      <c r="L653" s="15" t="s">
        <v>28</v>
      </c>
      <c r="M653" s="15" t="s">
        <v>33</v>
      </c>
      <c r="N653" s="20"/>
      <c r="O653" s="15"/>
      <c r="P653" s="15"/>
      <c r="Q653" s="21"/>
      <c r="R653" s="21"/>
      <c r="S653" s="21"/>
      <c r="T653" s="28"/>
      <c r="U653" s="34"/>
    </row>
    <row r="654" s="25" customFormat="true" ht="69" hidden="false" customHeight="false" outlineLevel="0" collapsed="false">
      <c r="A654" s="36" t="s">
        <v>1598</v>
      </c>
      <c r="B654" s="26"/>
      <c r="C654" s="14" t="s">
        <v>1332</v>
      </c>
      <c r="D654" s="15" t="n">
        <v>4</v>
      </c>
      <c r="E654" s="27" t="n">
        <v>50</v>
      </c>
      <c r="F654" s="16" t="n">
        <v>100</v>
      </c>
      <c r="G654" s="15" t="s">
        <v>36</v>
      </c>
      <c r="H654" s="17" t="s">
        <v>25</v>
      </c>
      <c r="I654" s="18" t="s">
        <v>26</v>
      </c>
      <c r="J654" s="15" t="n">
        <v>2021</v>
      </c>
      <c r="K654" s="19" t="s">
        <v>1333</v>
      </c>
      <c r="L654" s="15" t="s">
        <v>28</v>
      </c>
      <c r="M654" s="15" t="s">
        <v>33</v>
      </c>
      <c r="N654" s="20" t="s">
        <v>139</v>
      </c>
      <c r="O654" s="15"/>
      <c r="P654" s="15"/>
      <c r="Q654" s="21"/>
      <c r="R654" s="21"/>
      <c r="S654" s="21"/>
      <c r="T654" s="28"/>
      <c r="U654" s="34"/>
    </row>
    <row r="655" s="25" customFormat="true" ht="69" hidden="false" customHeight="false" outlineLevel="0" collapsed="false">
      <c r="A655" s="36" t="s">
        <v>1599</v>
      </c>
      <c r="B655" s="26" t="s">
        <v>1600</v>
      </c>
      <c r="C655" s="14" t="s">
        <v>1332</v>
      </c>
      <c r="D655" s="15" t="n">
        <v>4</v>
      </c>
      <c r="E655" s="27" t="n">
        <v>50</v>
      </c>
      <c r="F655" s="16" t="n">
        <v>100</v>
      </c>
      <c r="G655" s="15" t="s">
        <v>36</v>
      </c>
      <c r="H655" s="17" t="s">
        <v>25</v>
      </c>
      <c r="I655" s="18" t="s">
        <v>26</v>
      </c>
      <c r="J655" s="15" t="n">
        <v>2021</v>
      </c>
      <c r="K655" s="19" t="s">
        <v>1333</v>
      </c>
      <c r="L655" s="15" t="s">
        <v>28</v>
      </c>
      <c r="M655" s="15" t="s">
        <v>33</v>
      </c>
      <c r="N655" s="20"/>
      <c r="O655" s="15"/>
      <c r="P655" s="15"/>
      <c r="Q655" s="21"/>
      <c r="R655" s="21"/>
      <c r="S655" s="21"/>
      <c r="T655" s="28"/>
      <c r="U655" s="34"/>
    </row>
    <row r="656" s="25" customFormat="true" ht="69" hidden="false" customHeight="false" outlineLevel="0" collapsed="false">
      <c r="A656" s="36" t="s">
        <v>1601</v>
      </c>
      <c r="B656" s="26" t="s">
        <v>1602</v>
      </c>
      <c r="C656" s="14" t="s">
        <v>1332</v>
      </c>
      <c r="D656" s="15" t="n">
        <v>4</v>
      </c>
      <c r="E656" s="27" t="n">
        <v>50</v>
      </c>
      <c r="F656" s="16" t="n">
        <v>100</v>
      </c>
      <c r="G656" s="15" t="s">
        <v>36</v>
      </c>
      <c r="H656" s="17" t="s">
        <v>25</v>
      </c>
      <c r="I656" s="18" t="s">
        <v>26</v>
      </c>
      <c r="J656" s="15" t="n">
        <v>2021</v>
      </c>
      <c r="K656" s="19" t="s">
        <v>1333</v>
      </c>
      <c r="L656" s="15" t="s">
        <v>28</v>
      </c>
      <c r="M656" s="15" t="s">
        <v>33</v>
      </c>
      <c r="N656" s="20"/>
      <c r="O656" s="15"/>
      <c r="P656" s="15"/>
      <c r="Q656" s="21"/>
      <c r="R656" s="21"/>
      <c r="S656" s="21"/>
      <c r="T656" s="28"/>
      <c r="U656" s="34"/>
    </row>
    <row r="657" s="25" customFormat="true" ht="69" hidden="false" customHeight="false" outlineLevel="0" collapsed="false">
      <c r="A657" s="36" t="s">
        <v>1603</v>
      </c>
      <c r="B657" s="26" t="s">
        <v>1604</v>
      </c>
      <c r="C657" s="14" t="s">
        <v>1332</v>
      </c>
      <c r="D657" s="15" t="n">
        <v>4</v>
      </c>
      <c r="E657" s="27" t="n">
        <v>50</v>
      </c>
      <c r="F657" s="16" t="n">
        <v>100</v>
      </c>
      <c r="G657" s="15" t="s">
        <v>36</v>
      </c>
      <c r="H657" s="17" t="s">
        <v>25</v>
      </c>
      <c r="I657" s="18" t="s">
        <v>26</v>
      </c>
      <c r="J657" s="15" t="n">
        <v>2021</v>
      </c>
      <c r="K657" s="19" t="s">
        <v>1333</v>
      </c>
      <c r="L657" s="15" t="s">
        <v>28</v>
      </c>
      <c r="M657" s="15" t="s">
        <v>33</v>
      </c>
      <c r="N657" s="20" t="s">
        <v>153</v>
      </c>
      <c r="O657" s="15"/>
      <c r="P657" s="15"/>
      <c r="Q657" s="21"/>
      <c r="R657" s="21"/>
      <c r="S657" s="21"/>
      <c r="T657" s="28"/>
      <c r="U657" s="34"/>
    </row>
    <row r="658" s="25" customFormat="true" ht="69" hidden="false" customHeight="false" outlineLevel="0" collapsed="false">
      <c r="A658" s="36" t="s">
        <v>1605</v>
      </c>
      <c r="B658" s="26" t="s">
        <v>1606</v>
      </c>
      <c r="C658" s="14" t="s">
        <v>1332</v>
      </c>
      <c r="D658" s="15" t="n">
        <v>4</v>
      </c>
      <c r="E658" s="27" t="n">
        <v>50</v>
      </c>
      <c r="F658" s="16" t="n">
        <v>100</v>
      </c>
      <c r="G658" s="15" t="s">
        <v>36</v>
      </c>
      <c r="H658" s="17" t="s">
        <v>25</v>
      </c>
      <c r="I658" s="18" t="s">
        <v>26</v>
      </c>
      <c r="J658" s="15" t="n">
        <v>2021</v>
      </c>
      <c r="K658" s="19" t="s">
        <v>1333</v>
      </c>
      <c r="L658" s="15" t="s">
        <v>28</v>
      </c>
      <c r="M658" s="15" t="s">
        <v>33</v>
      </c>
      <c r="N658" s="20" t="s">
        <v>160</v>
      </c>
      <c r="O658" s="15"/>
      <c r="P658" s="15"/>
      <c r="Q658" s="21"/>
      <c r="R658" s="21"/>
      <c r="S658" s="21"/>
      <c r="T658" s="28"/>
      <c r="U658" s="34"/>
    </row>
    <row r="659" s="25" customFormat="true" ht="69" hidden="false" customHeight="false" outlineLevel="0" collapsed="false">
      <c r="A659" s="36" t="s">
        <v>1607</v>
      </c>
      <c r="B659" s="26" t="s">
        <v>1608</v>
      </c>
      <c r="C659" s="14" t="s">
        <v>1332</v>
      </c>
      <c r="D659" s="15" t="n">
        <v>4</v>
      </c>
      <c r="E659" s="27" t="n">
        <v>50</v>
      </c>
      <c r="F659" s="16" t="n">
        <v>100</v>
      </c>
      <c r="G659" s="15" t="s">
        <v>36</v>
      </c>
      <c r="H659" s="17" t="s">
        <v>25</v>
      </c>
      <c r="I659" s="18" t="s">
        <v>26</v>
      </c>
      <c r="J659" s="15" t="n">
        <v>2021</v>
      </c>
      <c r="K659" s="19" t="s">
        <v>1333</v>
      </c>
      <c r="L659" s="15" t="s">
        <v>28</v>
      </c>
      <c r="M659" s="15" t="s">
        <v>33</v>
      </c>
      <c r="N659" s="20"/>
      <c r="O659" s="15"/>
      <c r="P659" s="15"/>
      <c r="Q659" s="21"/>
      <c r="R659" s="21"/>
      <c r="S659" s="21"/>
      <c r="T659" s="28"/>
      <c r="U659" s="34"/>
    </row>
    <row r="660" s="25" customFormat="true" ht="69" hidden="false" customHeight="false" outlineLevel="0" collapsed="false">
      <c r="A660" s="36" t="s">
        <v>1609</v>
      </c>
      <c r="B660" s="26" t="s">
        <v>1610</v>
      </c>
      <c r="C660" s="14" t="s">
        <v>1332</v>
      </c>
      <c r="D660" s="15" t="n">
        <v>4</v>
      </c>
      <c r="E660" s="27" t="n">
        <v>50</v>
      </c>
      <c r="F660" s="16" t="n">
        <v>100</v>
      </c>
      <c r="G660" s="15" t="s">
        <v>36</v>
      </c>
      <c r="H660" s="17" t="s">
        <v>25</v>
      </c>
      <c r="I660" s="18" t="s">
        <v>26</v>
      </c>
      <c r="J660" s="15" t="n">
        <v>2021</v>
      </c>
      <c r="K660" s="19" t="s">
        <v>1333</v>
      </c>
      <c r="L660" s="15" t="s">
        <v>28</v>
      </c>
      <c r="M660" s="15" t="s">
        <v>33</v>
      </c>
      <c r="N660" s="20"/>
      <c r="O660" s="15"/>
      <c r="P660" s="15"/>
      <c r="Q660" s="21"/>
      <c r="R660" s="21"/>
      <c r="S660" s="21"/>
      <c r="T660" s="28"/>
      <c r="U660" s="34"/>
    </row>
    <row r="661" s="25" customFormat="true" ht="69" hidden="false" customHeight="false" outlineLevel="0" collapsed="false">
      <c r="A661" s="36" t="s">
        <v>1611</v>
      </c>
      <c r="B661" s="26" t="s">
        <v>1612</v>
      </c>
      <c r="C661" s="14" t="s">
        <v>1332</v>
      </c>
      <c r="D661" s="15" t="n">
        <v>4</v>
      </c>
      <c r="E661" s="27" t="n">
        <v>50</v>
      </c>
      <c r="F661" s="16" t="n">
        <v>100</v>
      </c>
      <c r="G661" s="15" t="s">
        <v>36</v>
      </c>
      <c r="H661" s="17" t="s">
        <v>25</v>
      </c>
      <c r="I661" s="18" t="s">
        <v>26</v>
      </c>
      <c r="J661" s="15" t="n">
        <v>2021</v>
      </c>
      <c r="K661" s="19" t="s">
        <v>1333</v>
      </c>
      <c r="L661" s="15" t="s">
        <v>28</v>
      </c>
      <c r="M661" s="15" t="s">
        <v>33</v>
      </c>
      <c r="N661" s="20" t="s">
        <v>72</v>
      </c>
      <c r="O661" s="15"/>
      <c r="P661" s="15"/>
      <c r="Q661" s="21"/>
      <c r="R661" s="21"/>
      <c r="S661" s="21"/>
      <c r="T661" s="28"/>
      <c r="U661" s="34"/>
    </row>
    <row r="662" s="25" customFormat="true" ht="41.4" hidden="false" customHeight="false" outlineLevel="0" collapsed="false">
      <c r="A662" s="36" t="s">
        <v>1613</v>
      </c>
      <c r="B662" s="26"/>
      <c r="C662" s="14" t="s">
        <v>1614</v>
      </c>
      <c r="D662" s="15" t="n">
        <v>10</v>
      </c>
      <c r="E662" s="16" t="n">
        <f aca="false">F662/2</f>
        <v>1620</v>
      </c>
      <c r="F662" s="16" t="n">
        <f aca="false">2700*1.2</f>
        <v>3240</v>
      </c>
      <c r="G662" s="15" t="s">
        <v>36</v>
      </c>
      <c r="H662" s="17" t="s">
        <v>25</v>
      </c>
      <c r="I662" s="18" t="s">
        <v>26</v>
      </c>
      <c r="J662" s="15" t="n">
        <v>2025</v>
      </c>
      <c r="K662" s="19" t="s">
        <v>65</v>
      </c>
      <c r="L662" s="15" t="s">
        <v>28</v>
      </c>
      <c r="M662" s="15" t="s">
        <v>33</v>
      </c>
      <c r="N662" s="17"/>
      <c r="O662" s="15"/>
      <c r="P662" s="15"/>
      <c r="Q662" s="21"/>
      <c r="R662" s="21"/>
      <c r="S662" s="21" t="s">
        <v>113</v>
      </c>
      <c r="T662" s="31" t="n">
        <v>45876</v>
      </c>
      <c r="U662" s="24"/>
    </row>
    <row r="663" s="25" customFormat="true" ht="41.4" hidden="false" customHeight="false" outlineLevel="0" collapsed="false">
      <c r="A663" s="36" t="s">
        <v>1615</v>
      </c>
      <c r="B663" s="26" t="s">
        <v>1616</v>
      </c>
      <c r="C663" s="14"/>
      <c r="D663" s="15" t="n">
        <v>4</v>
      </c>
      <c r="E663" s="27" t="n">
        <v>320</v>
      </c>
      <c r="F663" s="16" t="n">
        <v>640</v>
      </c>
      <c r="G663" s="15" t="s">
        <v>36</v>
      </c>
      <c r="H663" s="17" t="s">
        <v>25</v>
      </c>
      <c r="I663" s="18" t="s">
        <v>26</v>
      </c>
      <c r="J663" s="15" t="n">
        <v>2014</v>
      </c>
      <c r="K663" s="19" t="s">
        <v>505</v>
      </c>
      <c r="L663" s="15" t="s">
        <v>28</v>
      </c>
      <c r="M663" s="15" t="s">
        <v>33</v>
      </c>
      <c r="N663" s="17"/>
      <c r="O663" s="15" t="s">
        <v>54</v>
      </c>
      <c r="P663" s="15" t="s">
        <v>1617</v>
      </c>
      <c r="Q663" s="21" t="s">
        <v>577</v>
      </c>
      <c r="R663" s="21"/>
      <c r="S663" s="21"/>
      <c r="T663" s="28"/>
      <c r="U663" s="24"/>
    </row>
    <row r="664" s="25" customFormat="true" ht="41.4" hidden="false" customHeight="false" outlineLevel="0" collapsed="false">
      <c r="A664" s="36" t="s">
        <v>1618</v>
      </c>
      <c r="B664" s="26" t="s">
        <v>1619</v>
      </c>
      <c r="C664" s="14" t="s">
        <v>1500</v>
      </c>
      <c r="D664" s="15" t="n">
        <v>4</v>
      </c>
      <c r="E664" s="27" t="n">
        <f aca="false">F664/2</f>
        <v>50</v>
      </c>
      <c r="F664" s="16" t="n">
        <v>100</v>
      </c>
      <c r="G664" s="15" t="s">
        <v>36</v>
      </c>
      <c r="H664" s="17" t="s">
        <v>25</v>
      </c>
      <c r="I664" s="18" t="s">
        <v>26</v>
      </c>
      <c r="J664" s="15" t="n">
        <v>2013</v>
      </c>
      <c r="K664" s="19" t="s">
        <v>52</v>
      </c>
      <c r="L664" s="15" t="s">
        <v>28</v>
      </c>
      <c r="M664" s="15" t="s">
        <v>33</v>
      </c>
      <c r="N664" s="17"/>
      <c r="O664" s="15"/>
      <c r="P664" s="15"/>
      <c r="Q664" s="21" t="s">
        <v>577</v>
      </c>
      <c r="R664" s="21"/>
      <c r="S664" s="21"/>
      <c r="T664" s="28"/>
      <c r="U664" s="24"/>
    </row>
    <row r="665" s="25" customFormat="true" ht="41.4" hidden="false" customHeight="false" outlineLevel="0" collapsed="false">
      <c r="A665" s="36" t="s">
        <v>1620</v>
      </c>
      <c r="B665" s="26" t="s">
        <v>1621</v>
      </c>
      <c r="C665" s="14"/>
      <c r="D665" s="15" t="n">
        <v>4</v>
      </c>
      <c r="E665" s="27" t="n">
        <f aca="false">F665/2</f>
        <v>407.5</v>
      </c>
      <c r="F665" s="16" t="n">
        <v>815</v>
      </c>
      <c r="G665" s="15" t="s">
        <v>36</v>
      </c>
      <c r="H665" s="17" t="s">
        <v>25</v>
      </c>
      <c r="I665" s="18" t="s">
        <v>26</v>
      </c>
      <c r="J665" s="15" t="n">
        <v>2015</v>
      </c>
      <c r="K665" s="19" t="s">
        <v>52</v>
      </c>
      <c r="L665" s="15" t="s">
        <v>28</v>
      </c>
      <c r="M665" s="15" t="s">
        <v>33</v>
      </c>
      <c r="N665" s="17"/>
      <c r="O665" s="15" t="s">
        <v>54</v>
      </c>
      <c r="P665" s="15"/>
      <c r="Q665" s="21" t="s">
        <v>881</v>
      </c>
      <c r="R665" s="21"/>
      <c r="S665" s="21"/>
      <c r="T665" s="28"/>
      <c r="U665" s="24"/>
    </row>
    <row r="666" s="25" customFormat="true" ht="41.4" hidden="false" customHeight="false" outlineLevel="0" collapsed="false">
      <c r="A666" s="36" t="s">
        <v>1622</v>
      </c>
      <c r="B666" s="26" t="s">
        <v>1623</v>
      </c>
      <c r="C666" s="14"/>
      <c r="D666" s="15" t="n">
        <v>4</v>
      </c>
      <c r="E666" s="27" t="n">
        <f aca="false">F666/2</f>
        <v>407.5</v>
      </c>
      <c r="F666" s="16" t="n">
        <v>815</v>
      </c>
      <c r="G666" s="15" t="s">
        <v>36</v>
      </c>
      <c r="H666" s="17" t="s">
        <v>25</v>
      </c>
      <c r="I666" s="18" t="s">
        <v>26</v>
      </c>
      <c r="J666" s="15" t="n">
        <v>2015</v>
      </c>
      <c r="K666" s="19" t="s">
        <v>52</v>
      </c>
      <c r="L666" s="15" t="s">
        <v>28</v>
      </c>
      <c r="M666" s="15" t="s">
        <v>33</v>
      </c>
      <c r="N666" s="17" t="s">
        <v>45</v>
      </c>
      <c r="O666" s="15" t="s">
        <v>54</v>
      </c>
      <c r="P666" s="15"/>
      <c r="Q666" s="21" t="s">
        <v>881</v>
      </c>
      <c r="R666" s="21"/>
      <c r="S666" s="21"/>
      <c r="T666" s="28"/>
      <c r="U666" s="24"/>
    </row>
    <row r="667" s="25" customFormat="true" ht="41.4" hidden="false" customHeight="false" outlineLevel="0" collapsed="false">
      <c r="A667" s="36" t="s">
        <v>1624</v>
      </c>
      <c r="B667" s="26" t="s">
        <v>1625</v>
      </c>
      <c r="C667" s="14"/>
      <c r="D667" s="15" t="n">
        <v>4</v>
      </c>
      <c r="E667" s="27" t="n">
        <f aca="false">F667/2</f>
        <v>407.5</v>
      </c>
      <c r="F667" s="16" t="n">
        <v>815</v>
      </c>
      <c r="G667" s="15" t="s">
        <v>36</v>
      </c>
      <c r="H667" s="17" t="s">
        <v>25</v>
      </c>
      <c r="I667" s="18" t="s">
        <v>26</v>
      </c>
      <c r="J667" s="15" t="n">
        <v>2015</v>
      </c>
      <c r="K667" s="19" t="s">
        <v>52</v>
      </c>
      <c r="L667" s="15" t="s">
        <v>28</v>
      </c>
      <c r="M667" s="15" t="s">
        <v>33</v>
      </c>
      <c r="N667" s="17" t="s">
        <v>865</v>
      </c>
      <c r="O667" s="15" t="s">
        <v>54</v>
      </c>
      <c r="P667" s="15"/>
      <c r="Q667" s="21" t="s">
        <v>881</v>
      </c>
      <c r="R667" s="21"/>
      <c r="S667" s="21"/>
      <c r="T667" s="28"/>
      <c r="U667" s="24"/>
    </row>
    <row r="668" s="25" customFormat="true" ht="41.4" hidden="false" customHeight="false" outlineLevel="0" collapsed="false">
      <c r="A668" s="36" t="s">
        <v>1626</v>
      </c>
      <c r="B668" s="26"/>
      <c r="C668" s="14" t="s">
        <v>762</v>
      </c>
      <c r="D668" s="15" t="n">
        <v>4</v>
      </c>
      <c r="E668" s="27" t="n">
        <f aca="false">F668/2</f>
        <v>50</v>
      </c>
      <c r="F668" s="16" t="n">
        <v>100</v>
      </c>
      <c r="G668" s="15" t="s">
        <v>36</v>
      </c>
      <c r="H668" s="17" t="s">
        <v>25</v>
      </c>
      <c r="I668" s="18" t="s">
        <v>26</v>
      </c>
      <c r="J668" s="15" t="n">
        <v>2018</v>
      </c>
      <c r="K668" s="19" t="s">
        <v>763</v>
      </c>
      <c r="L668" s="15" t="s">
        <v>28</v>
      </c>
      <c r="M668" s="15" t="s">
        <v>33</v>
      </c>
      <c r="N668" s="20"/>
      <c r="O668" s="15"/>
      <c r="P668" s="15"/>
      <c r="Q668" s="21"/>
      <c r="R668" s="21"/>
      <c r="S668" s="21"/>
      <c r="T668" s="28"/>
      <c r="U668" s="24"/>
    </row>
    <row r="669" s="25" customFormat="true" ht="41.4" hidden="false" customHeight="false" outlineLevel="0" collapsed="false">
      <c r="A669" s="36" t="s">
        <v>1627</v>
      </c>
      <c r="B669" s="26"/>
      <c r="C669" s="14" t="s">
        <v>1628</v>
      </c>
      <c r="D669" s="15" t="n">
        <v>12</v>
      </c>
      <c r="E669" s="27" t="n">
        <f aca="false">F669/2</f>
        <v>6214</v>
      </c>
      <c r="F669" s="16" t="n">
        <v>12428</v>
      </c>
      <c r="G669" s="15" t="s">
        <v>36</v>
      </c>
      <c r="H669" s="17" t="s">
        <v>25</v>
      </c>
      <c r="I669" s="18" t="s">
        <v>26</v>
      </c>
      <c r="J669" s="15" t="n">
        <v>2022</v>
      </c>
      <c r="K669" s="19" t="s">
        <v>27</v>
      </c>
      <c r="L669" s="15" t="s">
        <v>28</v>
      </c>
      <c r="M669" s="15" t="s">
        <v>33</v>
      </c>
      <c r="N669" s="20"/>
      <c r="O669" s="15"/>
      <c r="P669" s="15"/>
      <c r="Q669" s="21"/>
      <c r="R669" s="21"/>
      <c r="S669" s="21"/>
      <c r="T669" s="31" t="n">
        <v>45893</v>
      </c>
      <c r="U669" s="34"/>
    </row>
    <row r="670" s="25" customFormat="true" ht="41.4" hidden="false" customHeight="false" outlineLevel="0" collapsed="false">
      <c r="A670" s="36" t="s">
        <v>1629</v>
      </c>
      <c r="B670" s="26"/>
      <c r="C670" s="14" t="s">
        <v>1630</v>
      </c>
      <c r="D670" s="15" t="n">
        <v>12</v>
      </c>
      <c r="E670" s="27" t="n">
        <f aca="false">F670/2</f>
        <v>35352</v>
      </c>
      <c r="F670" s="16" t="n">
        <v>70704</v>
      </c>
      <c r="G670" s="15" t="s">
        <v>36</v>
      </c>
      <c r="H670" s="17" t="s">
        <v>25</v>
      </c>
      <c r="I670" s="18" t="s">
        <v>26</v>
      </c>
      <c r="J670" s="15" t="n">
        <v>2025</v>
      </c>
      <c r="K670" s="19" t="s">
        <v>27</v>
      </c>
      <c r="L670" s="15" t="s">
        <v>28</v>
      </c>
      <c r="M670" s="15" t="s">
        <v>33</v>
      </c>
      <c r="N670" s="20"/>
      <c r="O670" s="15"/>
      <c r="P670" s="15"/>
      <c r="Q670" s="21"/>
      <c r="R670" s="21"/>
      <c r="S670" s="21"/>
      <c r="T670" s="28"/>
      <c r="U670" s="34"/>
    </row>
    <row r="671" s="25" customFormat="true" ht="41.4" hidden="false" customHeight="false" outlineLevel="0" collapsed="false">
      <c r="A671" s="36" t="s">
        <v>1631</v>
      </c>
      <c r="B671" s="26"/>
      <c r="C671" s="14" t="s">
        <v>1630</v>
      </c>
      <c r="D671" s="15" t="n">
        <v>24</v>
      </c>
      <c r="E671" s="27" t="n">
        <f aca="false">F671/2</f>
        <v>119088</v>
      </c>
      <c r="F671" s="16" t="n">
        <v>238176</v>
      </c>
      <c r="G671" s="15" t="s">
        <v>36</v>
      </c>
      <c r="H671" s="17" t="s">
        <v>25</v>
      </c>
      <c r="I671" s="18" t="s">
        <v>26</v>
      </c>
      <c r="J671" s="15" t="n">
        <v>2025</v>
      </c>
      <c r="K671" s="19" t="s">
        <v>27</v>
      </c>
      <c r="L671" s="15" t="s">
        <v>28</v>
      </c>
      <c r="M671" s="15" t="s">
        <v>33</v>
      </c>
      <c r="N671" s="20"/>
      <c r="O671" s="15"/>
      <c r="P671" s="15"/>
      <c r="Q671" s="21"/>
      <c r="R671" s="21"/>
      <c r="S671" s="21"/>
      <c r="T671" s="28"/>
      <c r="U671" s="34"/>
    </row>
    <row r="672" s="25" customFormat="true" ht="41.4" hidden="false" customHeight="false" outlineLevel="0" collapsed="false">
      <c r="A672" s="36" t="s">
        <v>1632</v>
      </c>
      <c r="B672" s="26"/>
      <c r="C672" s="14" t="s">
        <v>1630</v>
      </c>
      <c r="D672" s="15" t="n">
        <v>12</v>
      </c>
      <c r="E672" s="27" t="n">
        <f aca="false">F672/2</f>
        <v>52206</v>
      </c>
      <c r="F672" s="16" t="n">
        <v>104412</v>
      </c>
      <c r="G672" s="15" t="s">
        <v>36</v>
      </c>
      <c r="H672" s="17" t="s">
        <v>25</v>
      </c>
      <c r="I672" s="18" t="s">
        <v>26</v>
      </c>
      <c r="J672" s="15" t="n">
        <v>2025</v>
      </c>
      <c r="K672" s="19" t="s">
        <v>27</v>
      </c>
      <c r="L672" s="15" t="s">
        <v>28</v>
      </c>
      <c r="M672" s="15" t="s">
        <v>33</v>
      </c>
      <c r="N672" s="20"/>
      <c r="O672" s="15"/>
      <c r="P672" s="15"/>
      <c r="Q672" s="21"/>
      <c r="R672" s="21"/>
      <c r="S672" s="21"/>
      <c r="T672" s="28"/>
      <c r="U672" s="34"/>
    </row>
    <row r="673" s="25" customFormat="true" ht="41.4" hidden="false" customHeight="false" outlineLevel="0" collapsed="false">
      <c r="A673" s="36" t="s">
        <v>1633</v>
      </c>
      <c r="B673" s="26"/>
      <c r="C673" s="14" t="s">
        <v>1630</v>
      </c>
      <c r="D673" s="15" t="n">
        <v>12</v>
      </c>
      <c r="E673" s="27" t="n">
        <f aca="false">F673/2</f>
        <v>65682</v>
      </c>
      <c r="F673" s="16" t="n">
        <v>131364</v>
      </c>
      <c r="G673" s="15" t="s">
        <v>36</v>
      </c>
      <c r="H673" s="17" t="s">
        <v>25</v>
      </c>
      <c r="I673" s="18" t="s">
        <v>26</v>
      </c>
      <c r="J673" s="15" t="n">
        <v>2025</v>
      </c>
      <c r="K673" s="19" t="s">
        <v>27</v>
      </c>
      <c r="L673" s="15" t="s">
        <v>28</v>
      </c>
      <c r="M673" s="15" t="s">
        <v>33</v>
      </c>
      <c r="N673" s="20"/>
      <c r="O673" s="15"/>
      <c r="P673" s="15"/>
      <c r="Q673" s="21"/>
      <c r="R673" s="21"/>
      <c r="S673" s="21"/>
      <c r="T673" s="28"/>
      <c r="U673" s="34"/>
    </row>
    <row r="674" s="25" customFormat="true" ht="41.4" hidden="false" customHeight="false" outlineLevel="0" collapsed="false">
      <c r="A674" s="36" t="s">
        <v>1634</v>
      </c>
      <c r="B674" s="26"/>
      <c r="C674" s="14" t="s">
        <v>1630</v>
      </c>
      <c r="D674" s="15" t="n">
        <v>12</v>
      </c>
      <c r="E674" s="27" t="n">
        <f aca="false">F674/2</f>
        <v>47730</v>
      </c>
      <c r="F674" s="16" t="n">
        <v>95460</v>
      </c>
      <c r="G674" s="15" t="s">
        <v>36</v>
      </c>
      <c r="H674" s="17" t="s">
        <v>25</v>
      </c>
      <c r="I674" s="18" t="s">
        <v>26</v>
      </c>
      <c r="J674" s="15" t="n">
        <v>2025</v>
      </c>
      <c r="K674" s="19" t="s">
        <v>27</v>
      </c>
      <c r="L674" s="15" t="s">
        <v>28</v>
      </c>
      <c r="M674" s="15" t="s">
        <v>33</v>
      </c>
      <c r="N674" s="20"/>
      <c r="O674" s="15"/>
      <c r="P674" s="15"/>
      <c r="Q674" s="21"/>
      <c r="R674" s="21"/>
      <c r="S674" s="21"/>
      <c r="T674" s="28"/>
      <c r="U674" s="34"/>
    </row>
    <row r="675" s="25" customFormat="true" ht="43.2" hidden="false" customHeight="false" outlineLevel="0" collapsed="false">
      <c r="A675" s="36" t="s">
        <v>1635</v>
      </c>
      <c r="B675" s="26"/>
      <c r="C675" s="14" t="s">
        <v>1630</v>
      </c>
      <c r="D675" s="15" t="n">
        <v>24</v>
      </c>
      <c r="E675" s="27" t="n">
        <f aca="false">F675/2</f>
        <v>158844</v>
      </c>
      <c r="F675" s="16" t="n">
        <v>317688</v>
      </c>
      <c r="G675" s="15" t="s">
        <v>36</v>
      </c>
      <c r="H675" s="17" t="s">
        <v>25</v>
      </c>
      <c r="I675" s="18" t="s">
        <v>26</v>
      </c>
      <c r="J675" s="15" t="n">
        <v>2025</v>
      </c>
      <c r="K675" s="19" t="s">
        <v>27</v>
      </c>
      <c r="L675" s="15" t="s">
        <v>28</v>
      </c>
      <c r="M675" s="15" t="s">
        <v>33</v>
      </c>
      <c r="N675" s="20"/>
      <c r="O675" s="15"/>
      <c r="P675" s="15"/>
      <c r="Q675" s="21"/>
      <c r="R675" s="21"/>
      <c r="S675" s="21"/>
      <c r="T675" s="28"/>
      <c r="U675" s="34"/>
    </row>
    <row r="676" s="25" customFormat="true" ht="43.2" hidden="false" customHeight="false" outlineLevel="0" collapsed="false">
      <c r="A676" s="36" t="s">
        <v>1636</v>
      </c>
      <c r="B676" s="26"/>
      <c r="C676" s="14" t="s">
        <v>1630</v>
      </c>
      <c r="D676" s="15" t="n">
        <v>12</v>
      </c>
      <c r="E676" s="27" t="n">
        <f aca="false">F676/2</f>
        <v>102348</v>
      </c>
      <c r="F676" s="16" t="n">
        <v>204696</v>
      </c>
      <c r="G676" s="15" t="s">
        <v>36</v>
      </c>
      <c r="H676" s="17" t="s">
        <v>25</v>
      </c>
      <c r="I676" s="18" t="s">
        <v>26</v>
      </c>
      <c r="J676" s="15" t="n">
        <v>2025</v>
      </c>
      <c r="K676" s="19" t="s">
        <v>27</v>
      </c>
      <c r="L676" s="15" t="s">
        <v>28</v>
      </c>
      <c r="M676" s="15" t="s">
        <v>33</v>
      </c>
      <c r="N676" s="20"/>
      <c r="O676" s="15"/>
      <c r="P676" s="15"/>
      <c r="Q676" s="21"/>
      <c r="R676" s="21"/>
      <c r="S676" s="21"/>
      <c r="T676" s="28"/>
      <c r="U676" s="34"/>
    </row>
    <row r="677" s="25" customFormat="true" ht="57.6" hidden="false" customHeight="false" outlineLevel="0" collapsed="false">
      <c r="A677" s="36" t="s">
        <v>1637</v>
      </c>
      <c r="B677" s="26"/>
      <c r="C677" s="14" t="s">
        <v>1630</v>
      </c>
      <c r="D677" s="15" t="n">
        <v>12</v>
      </c>
      <c r="E677" s="27" t="n">
        <f aca="false">F677/2</f>
        <v>58968</v>
      </c>
      <c r="F677" s="16" t="n">
        <v>117936</v>
      </c>
      <c r="G677" s="15" t="s">
        <v>36</v>
      </c>
      <c r="H677" s="17" t="s">
        <v>25</v>
      </c>
      <c r="I677" s="18" t="s">
        <v>26</v>
      </c>
      <c r="J677" s="15" t="n">
        <v>2025</v>
      </c>
      <c r="K677" s="19" t="s">
        <v>27</v>
      </c>
      <c r="L677" s="15" t="s">
        <v>28</v>
      </c>
      <c r="M677" s="15" t="s">
        <v>33</v>
      </c>
      <c r="N677" s="20"/>
      <c r="O677" s="15"/>
      <c r="P677" s="15"/>
      <c r="Q677" s="21"/>
      <c r="R677" s="21"/>
      <c r="S677" s="21"/>
      <c r="T677" s="28"/>
      <c r="U677" s="34"/>
    </row>
    <row r="678" s="25" customFormat="true" ht="43.2" hidden="false" customHeight="false" outlineLevel="0" collapsed="false">
      <c r="A678" s="36" t="s">
        <v>1638</v>
      </c>
      <c r="B678" s="26"/>
      <c r="C678" s="14" t="s">
        <v>1630</v>
      </c>
      <c r="D678" s="15" t="n">
        <v>12</v>
      </c>
      <c r="E678" s="27" t="n">
        <f aca="false">F678/2</f>
        <v>79422</v>
      </c>
      <c r="F678" s="16" t="n">
        <v>158844</v>
      </c>
      <c r="G678" s="15" t="s">
        <v>36</v>
      </c>
      <c r="H678" s="17" t="s">
        <v>25</v>
      </c>
      <c r="I678" s="18" t="s">
        <v>26</v>
      </c>
      <c r="J678" s="15" t="n">
        <v>2025</v>
      </c>
      <c r="K678" s="19" t="s">
        <v>27</v>
      </c>
      <c r="L678" s="15" t="s">
        <v>28</v>
      </c>
      <c r="M678" s="15" t="s">
        <v>33</v>
      </c>
      <c r="N678" s="20"/>
      <c r="O678" s="15"/>
      <c r="P678" s="15"/>
      <c r="Q678" s="21"/>
      <c r="R678" s="21"/>
      <c r="S678" s="21"/>
      <c r="T678" s="28"/>
      <c r="U678" s="34"/>
    </row>
    <row r="679" s="25" customFormat="true" ht="41.4" hidden="false" customHeight="false" outlineLevel="0" collapsed="false">
      <c r="A679" s="36" t="s">
        <v>1639</v>
      </c>
      <c r="B679" s="26"/>
      <c r="C679" s="14" t="s">
        <v>1630</v>
      </c>
      <c r="D679" s="15" t="n">
        <v>12</v>
      </c>
      <c r="E679" s="27" t="n">
        <f aca="false">F679/2</f>
        <v>48852</v>
      </c>
      <c r="F679" s="16" t="n">
        <v>97704</v>
      </c>
      <c r="G679" s="15" t="s">
        <v>36</v>
      </c>
      <c r="H679" s="17" t="s">
        <v>25</v>
      </c>
      <c r="I679" s="18" t="s">
        <v>26</v>
      </c>
      <c r="J679" s="15" t="n">
        <v>2025</v>
      </c>
      <c r="K679" s="19" t="s">
        <v>27</v>
      </c>
      <c r="L679" s="15" t="s">
        <v>28</v>
      </c>
      <c r="M679" s="15" t="s">
        <v>33</v>
      </c>
      <c r="N679" s="20"/>
      <c r="O679" s="15"/>
      <c r="P679" s="15"/>
      <c r="Q679" s="21"/>
      <c r="R679" s="21"/>
      <c r="S679" s="21"/>
      <c r="T679" s="28"/>
      <c r="U679" s="34"/>
    </row>
    <row r="680" s="25" customFormat="true" ht="57.6" hidden="false" customHeight="false" outlineLevel="0" collapsed="false">
      <c r="A680" s="36" t="s">
        <v>1640</v>
      </c>
      <c r="B680" s="26"/>
      <c r="C680" s="14" t="s">
        <v>1630</v>
      </c>
      <c r="D680" s="15" t="n">
        <v>12</v>
      </c>
      <c r="E680" s="27" t="n">
        <f aca="false">F680/2</f>
        <v>89022</v>
      </c>
      <c r="F680" s="16" t="n">
        <v>178044</v>
      </c>
      <c r="G680" s="15" t="s">
        <v>36</v>
      </c>
      <c r="H680" s="17" t="s">
        <v>25</v>
      </c>
      <c r="I680" s="18" t="s">
        <v>26</v>
      </c>
      <c r="J680" s="15" t="n">
        <v>2025</v>
      </c>
      <c r="K680" s="19" t="s">
        <v>27</v>
      </c>
      <c r="L680" s="15" t="s">
        <v>28</v>
      </c>
      <c r="M680" s="15" t="s">
        <v>33</v>
      </c>
      <c r="N680" s="20"/>
      <c r="O680" s="15"/>
      <c r="P680" s="15"/>
      <c r="Q680" s="21"/>
      <c r="R680" s="21"/>
      <c r="S680" s="21"/>
      <c r="T680" s="28"/>
      <c r="U680" s="34"/>
    </row>
    <row r="681" s="25" customFormat="true" ht="41.4" hidden="false" customHeight="false" outlineLevel="0" collapsed="false">
      <c r="A681" s="36" t="s">
        <v>1641</v>
      </c>
      <c r="B681" s="26"/>
      <c r="C681" s="14" t="s">
        <v>1630</v>
      </c>
      <c r="D681" s="15" t="n">
        <v>12</v>
      </c>
      <c r="E681" s="27" t="n">
        <f aca="false">F681/2</f>
        <v>40410</v>
      </c>
      <c r="F681" s="16" t="n">
        <v>80820</v>
      </c>
      <c r="G681" s="15" t="s">
        <v>36</v>
      </c>
      <c r="H681" s="17" t="s">
        <v>25</v>
      </c>
      <c r="I681" s="18" t="s">
        <v>26</v>
      </c>
      <c r="J681" s="15" t="n">
        <v>2025</v>
      </c>
      <c r="K681" s="19" t="s">
        <v>27</v>
      </c>
      <c r="L681" s="15" t="s">
        <v>28</v>
      </c>
      <c r="M681" s="15" t="s">
        <v>33</v>
      </c>
      <c r="N681" s="20"/>
      <c r="O681" s="15"/>
      <c r="P681" s="15"/>
      <c r="Q681" s="21"/>
      <c r="R681" s="21"/>
      <c r="S681" s="21"/>
      <c r="T681" s="28"/>
      <c r="U681" s="34"/>
    </row>
    <row r="682" s="25" customFormat="true" ht="41.4" hidden="false" customHeight="false" outlineLevel="0" collapsed="false">
      <c r="A682" s="36" t="s">
        <v>1642</v>
      </c>
      <c r="B682" s="26"/>
      <c r="C682" s="14" t="s">
        <v>1630</v>
      </c>
      <c r="D682" s="15" t="n">
        <v>12</v>
      </c>
      <c r="E682" s="27" t="n">
        <f aca="false">F682/2</f>
        <v>43800</v>
      </c>
      <c r="F682" s="16" t="n">
        <v>87600</v>
      </c>
      <c r="G682" s="15" t="s">
        <v>36</v>
      </c>
      <c r="H682" s="17" t="s">
        <v>25</v>
      </c>
      <c r="I682" s="18" t="s">
        <v>26</v>
      </c>
      <c r="J682" s="15" t="n">
        <v>2025</v>
      </c>
      <c r="K682" s="19" t="s">
        <v>27</v>
      </c>
      <c r="L682" s="15" t="s">
        <v>28</v>
      </c>
      <c r="M682" s="15" t="s">
        <v>33</v>
      </c>
      <c r="N682" s="20"/>
      <c r="O682" s="15"/>
      <c r="P682" s="15"/>
      <c r="Q682" s="21"/>
      <c r="R682" s="21"/>
      <c r="S682" s="21"/>
      <c r="T682" s="28"/>
      <c r="U682" s="34"/>
    </row>
    <row r="683" s="25" customFormat="true" ht="41.4" hidden="false" customHeight="false" outlineLevel="0" collapsed="false">
      <c r="A683" s="36" t="s">
        <v>1643</v>
      </c>
      <c r="B683" s="26"/>
      <c r="C683" s="14" t="s">
        <v>1630</v>
      </c>
      <c r="D683" s="15" t="n">
        <v>12</v>
      </c>
      <c r="E683" s="27" t="n">
        <f aca="false">F683/2</f>
        <v>42108</v>
      </c>
      <c r="F683" s="16" t="n">
        <v>84216</v>
      </c>
      <c r="G683" s="15" t="s">
        <v>36</v>
      </c>
      <c r="H683" s="17" t="s">
        <v>25</v>
      </c>
      <c r="I683" s="18" t="s">
        <v>26</v>
      </c>
      <c r="J683" s="15" t="n">
        <v>2025</v>
      </c>
      <c r="K683" s="19" t="s">
        <v>27</v>
      </c>
      <c r="L683" s="15" t="s">
        <v>28</v>
      </c>
      <c r="M683" s="15" t="s">
        <v>33</v>
      </c>
      <c r="N683" s="20"/>
      <c r="O683" s="15"/>
      <c r="P683" s="15"/>
      <c r="Q683" s="21"/>
      <c r="R683" s="21"/>
      <c r="S683" s="21"/>
      <c r="T683" s="28"/>
      <c r="U683" s="34"/>
    </row>
    <row r="684" s="25" customFormat="true" ht="41.4" hidden="false" customHeight="false" outlineLevel="0" collapsed="false">
      <c r="A684" s="36" t="s">
        <v>1644</v>
      </c>
      <c r="B684" s="26"/>
      <c r="C684" s="14" t="s">
        <v>1630</v>
      </c>
      <c r="D684" s="15" t="n">
        <v>12</v>
      </c>
      <c r="E684" s="27" t="n">
        <f aca="false">F684/2</f>
        <v>69060</v>
      </c>
      <c r="F684" s="16" t="n">
        <v>138120</v>
      </c>
      <c r="G684" s="15" t="s">
        <v>36</v>
      </c>
      <c r="H684" s="17" t="s">
        <v>25</v>
      </c>
      <c r="I684" s="18" t="s">
        <v>26</v>
      </c>
      <c r="J684" s="15" t="n">
        <v>2025</v>
      </c>
      <c r="K684" s="19" t="s">
        <v>27</v>
      </c>
      <c r="L684" s="15" t="s">
        <v>28</v>
      </c>
      <c r="M684" s="15" t="s">
        <v>33</v>
      </c>
      <c r="N684" s="20"/>
      <c r="O684" s="15"/>
      <c r="P684" s="15"/>
      <c r="Q684" s="21"/>
      <c r="R684" s="21"/>
      <c r="S684" s="21"/>
      <c r="T684" s="28"/>
      <c r="U684" s="34"/>
    </row>
    <row r="685" s="25" customFormat="true" ht="41.4" hidden="false" customHeight="false" outlineLevel="0" collapsed="false">
      <c r="A685" s="36" t="s">
        <v>1645</v>
      </c>
      <c r="B685" s="26"/>
      <c r="C685" s="14" t="s">
        <v>1630</v>
      </c>
      <c r="D685" s="15" t="n">
        <v>12</v>
      </c>
      <c r="E685" s="27" t="n">
        <f aca="false">F685/2</f>
        <v>33000</v>
      </c>
      <c r="F685" s="16" t="n">
        <v>66000</v>
      </c>
      <c r="G685" s="15" t="s">
        <v>36</v>
      </c>
      <c r="H685" s="17" t="s">
        <v>25</v>
      </c>
      <c r="I685" s="18" t="s">
        <v>26</v>
      </c>
      <c r="J685" s="15" t="n">
        <v>2025</v>
      </c>
      <c r="K685" s="19" t="s">
        <v>27</v>
      </c>
      <c r="L685" s="15" t="s">
        <v>28</v>
      </c>
      <c r="M685" s="15" t="s">
        <v>33</v>
      </c>
      <c r="N685" s="20"/>
      <c r="O685" s="15"/>
      <c r="P685" s="15"/>
      <c r="Q685" s="21"/>
      <c r="R685" s="21"/>
      <c r="S685" s="21"/>
      <c r="T685" s="28"/>
      <c r="U685" s="34"/>
    </row>
    <row r="686" s="25" customFormat="true" ht="41.4" hidden="false" customHeight="false" outlineLevel="0" collapsed="false">
      <c r="A686" s="36" t="s">
        <v>1646</v>
      </c>
      <c r="B686" s="26"/>
      <c r="C686" s="14" t="s">
        <v>864</v>
      </c>
      <c r="D686" s="15" t="n">
        <v>2</v>
      </c>
      <c r="E686" s="27" t="n">
        <f aca="false">F686/2</f>
        <v>50</v>
      </c>
      <c r="F686" s="16" t="n">
        <v>100</v>
      </c>
      <c r="G686" s="15" t="s">
        <v>36</v>
      </c>
      <c r="H686" s="17" t="s">
        <v>25</v>
      </c>
      <c r="I686" s="18" t="s">
        <v>26</v>
      </c>
      <c r="J686" s="15" t="n">
        <v>2023</v>
      </c>
      <c r="K686" s="19" t="s">
        <v>553</v>
      </c>
      <c r="L686" s="15" t="s">
        <v>28</v>
      </c>
      <c r="M686" s="15" t="s">
        <v>33</v>
      </c>
      <c r="N686" s="17" t="s">
        <v>160</v>
      </c>
      <c r="O686" s="15"/>
      <c r="P686" s="15"/>
      <c r="Q686" s="21"/>
      <c r="R686" s="21"/>
      <c r="S686" s="21"/>
      <c r="T686" s="28"/>
      <c r="U686" s="24"/>
    </row>
    <row r="687" s="25" customFormat="true" ht="41.4" hidden="false" customHeight="false" outlineLevel="0" collapsed="false">
      <c r="A687" s="36" t="s">
        <v>1647</v>
      </c>
      <c r="B687" s="26" t="s">
        <v>1648</v>
      </c>
      <c r="C687" s="14" t="s">
        <v>307</v>
      </c>
      <c r="D687" s="15" t="n">
        <v>6</v>
      </c>
      <c r="E687" s="27" t="n">
        <f aca="false">F687/2</f>
        <v>50</v>
      </c>
      <c r="F687" s="16" t="n">
        <v>100</v>
      </c>
      <c r="G687" s="15" t="s">
        <v>36</v>
      </c>
      <c r="H687" s="17" t="s">
        <v>25</v>
      </c>
      <c r="I687" s="18" t="s">
        <v>26</v>
      </c>
      <c r="J687" s="15" t="n">
        <v>2012</v>
      </c>
      <c r="K687" s="19" t="s">
        <v>27</v>
      </c>
      <c r="L687" s="15" t="s">
        <v>28</v>
      </c>
      <c r="M687" s="15" t="s">
        <v>33</v>
      </c>
      <c r="N687" s="17" t="s">
        <v>83</v>
      </c>
      <c r="O687" s="15" t="s">
        <v>54</v>
      </c>
      <c r="P687" s="15"/>
      <c r="Q687" s="21" t="s">
        <v>302</v>
      </c>
      <c r="R687" s="21"/>
      <c r="S687" s="21"/>
      <c r="T687" s="28"/>
      <c r="U687" s="24"/>
    </row>
    <row r="688" s="25" customFormat="true" ht="41.4" hidden="false" customHeight="false" outlineLevel="0" collapsed="false">
      <c r="A688" s="36" t="s">
        <v>1649</v>
      </c>
      <c r="B688" s="26" t="s">
        <v>1650</v>
      </c>
      <c r="C688" s="14" t="s">
        <v>1651</v>
      </c>
      <c r="D688" s="15" t="n">
        <v>12</v>
      </c>
      <c r="E688" s="27" t="n">
        <f aca="false">F688/2</f>
        <v>2040</v>
      </c>
      <c r="F688" s="16" t="n">
        <f aca="false">3400*1.2</f>
        <v>4080</v>
      </c>
      <c r="G688" s="15" t="s">
        <v>36</v>
      </c>
      <c r="H688" s="17" t="s">
        <v>25</v>
      </c>
      <c r="I688" s="18" t="s">
        <v>26</v>
      </c>
      <c r="J688" s="15" t="n">
        <v>2017</v>
      </c>
      <c r="K688" s="19" t="s">
        <v>27</v>
      </c>
      <c r="L688" s="15" t="s">
        <v>28</v>
      </c>
      <c r="M688" s="15" t="s">
        <v>33</v>
      </c>
      <c r="N688" s="17" t="s">
        <v>72</v>
      </c>
      <c r="O688" s="15" t="s">
        <v>203</v>
      </c>
      <c r="P688" s="15"/>
      <c r="Q688" s="21" t="s">
        <v>78</v>
      </c>
      <c r="R688" s="21"/>
      <c r="S688" s="21"/>
      <c r="T688" s="28"/>
      <c r="U688" s="24"/>
    </row>
    <row r="689" s="25" customFormat="true" ht="41.4" hidden="false" customHeight="false" outlineLevel="0" collapsed="false">
      <c r="A689" s="36" t="s">
        <v>1652</v>
      </c>
      <c r="B689" s="26"/>
      <c r="C689" s="14" t="s">
        <v>1653</v>
      </c>
      <c r="D689" s="15" t="n">
        <v>4</v>
      </c>
      <c r="E689" s="16" t="n">
        <f aca="false">F689/2</f>
        <v>50</v>
      </c>
      <c r="F689" s="16" t="n">
        <v>100</v>
      </c>
      <c r="G689" s="15" t="s">
        <v>36</v>
      </c>
      <c r="H689" s="17" t="s">
        <v>25</v>
      </c>
      <c r="I689" s="18" t="s">
        <v>26</v>
      </c>
      <c r="J689" s="15" t="n">
        <v>2024</v>
      </c>
      <c r="K689" s="19" t="s">
        <v>1654</v>
      </c>
      <c r="L689" s="15" t="s">
        <v>28</v>
      </c>
      <c r="M689" s="15" t="s">
        <v>33</v>
      </c>
      <c r="N689" s="17" t="s">
        <v>511</v>
      </c>
      <c r="O689" s="15"/>
      <c r="P689" s="15"/>
      <c r="Q689" s="21"/>
      <c r="R689" s="21"/>
      <c r="S689" s="21"/>
      <c r="T689" s="28"/>
      <c r="U689" s="24"/>
    </row>
    <row r="690" s="25" customFormat="true" ht="41.4" hidden="false" customHeight="false" outlineLevel="0" collapsed="false">
      <c r="A690" s="36" t="s">
        <v>1655</v>
      </c>
      <c r="B690" s="26" t="s">
        <v>1656</v>
      </c>
      <c r="C690" s="14" t="s">
        <v>1657</v>
      </c>
      <c r="D690" s="15" t="n">
        <v>6</v>
      </c>
      <c r="E690" s="27" t="n">
        <f aca="false">F690/2</f>
        <v>14250</v>
      </c>
      <c r="F690" s="16" t="n">
        <v>28500</v>
      </c>
      <c r="G690" s="15" t="s">
        <v>24</v>
      </c>
      <c r="H690" s="17" t="s">
        <v>25</v>
      </c>
      <c r="I690" s="18" t="s">
        <v>26</v>
      </c>
      <c r="J690" s="15" t="n">
        <v>2017</v>
      </c>
      <c r="K690" s="19" t="s">
        <v>1325</v>
      </c>
      <c r="L690" s="15" t="s">
        <v>28</v>
      </c>
      <c r="M690" s="15" t="s">
        <v>33</v>
      </c>
      <c r="N690" s="17"/>
      <c r="O690" s="15"/>
      <c r="P690" s="15"/>
      <c r="Q690" s="21"/>
      <c r="R690" s="21"/>
      <c r="S690" s="21"/>
      <c r="T690" s="28"/>
      <c r="U690" s="24"/>
    </row>
    <row r="691" s="25" customFormat="true" ht="41.4" hidden="false" customHeight="false" outlineLevel="0" collapsed="false">
      <c r="A691" s="36" t="s">
        <v>1658</v>
      </c>
      <c r="B691" s="26" t="s">
        <v>1659</v>
      </c>
      <c r="C691" s="14" t="s">
        <v>122</v>
      </c>
      <c r="D691" s="15" t="n">
        <v>12</v>
      </c>
      <c r="E691" s="27" t="n">
        <v>23628</v>
      </c>
      <c r="F691" s="16" t="n">
        <v>39204</v>
      </c>
      <c r="G691" s="15" t="s">
        <v>36</v>
      </c>
      <c r="H691" s="17" t="s">
        <v>25</v>
      </c>
      <c r="I691" s="18" t="s">
        <v>26</v>
      </c>
      <c r="J691" s="15" t="n">
        <v>2017</v>
      </c>
      <c r="K691" s="19" t="s">
        <v>27</v>
      </c>
      <c r="L691" s="15" t="s">
        <v>28</v>
      </c>
      <c r="M691" s="15" t="s">
        <v>33</v>
      </c>
      <c r="N691" s="17" t="s">
        <v>375</v>
      </c>
      <c r="O691" s="15"/>
      <c r="P691" s="15"/>
      <c r="Q691" s="21"/>
      <c r="R691" s="21"/>
      <c r="S691" s="21"/>
      <c r="T691" s="28"/>
      <c r="U691" s="24"/>
    </row>
    <row r="692" s="25" customFormat="true" ht="41.4" hidden="false" customHeight="false" outlineLevel="0" collapsed="false">
      <c r="A692" s="36" t="s">
        <v>1660</v>
      </c>
      <c r="B692" s="26"/>
      <c r="C692" s="14" t="s">
        <v>426</v>
      </c>
      <c r="D692" s="15" t="n">
        <v>4</v>
      </c>
      <c r="E692" s="27" t="n">
        <f aca="false">F692/2</f>
        <v>50</v>
      </c>
      <c r="F692" s="16" t="n">
        <v>100</v>
      </c>
      <c r="G692" s="15" t="s">
        <v>36</v>
      </c>
      <c r="H692" s="17" t="s">
        <v>25</v>
      </c>
      <c r="I692" s="18" t="s">
        <v>26</v>
      </c>
      <c r="J692" s="15" t="n">
        <v>2025</v>
      </c>
      <c r="K692" s="19" t="s">
        <v>427</v>
      </c>
      <c r="L692" s="15" t="s">
        <v>28</v>
      </c>
      <c r="M692" s="15" t="s">
        <v>33</v>
      </c>
      <c r="N692" s="17"/>
      <c r="O692" s="15"/>
      <c r="P692" s="15"/>
      <c r="Q692" s="21" t="s">
        <v>78</v>
      </c>
      <c r="R692" s="21"/>
      <c r="S692" s="21"/>
      <c r="T692" s="28"/>
      <c r="U692" s="24"/>
    </row>
    <row r="693" s="25" customFormat="true" ht="41.4" hidden="false" customHeight="false" outlineLevel="0" collapsed="false">
      <c r="A693" s="36" t="s">
        <v>1661</v>
      </c>
      <c r="B693" s="26" t="s">
        <v>1662</v>
      </c>
      <c r="C693" s="14" t="s">
        <v>643</v>
      </c>
      <c r="D693" s="15" t="n">
        <v>12</v>
      </c>
      <c r="E693" s="27" t="n">
        <f aca="false">F693/2</f>
        <v>725</v>
      </c>
      <c r="F693" s="16" t="n">
        <v>1450</v>
      </c>
      <c r="G693" s="15" t="s">
        <v>36</v>
      </c>
      <c r="H693" s="17" t="s">
        <v>25</v>
      </c>
      <c r="I693" s="18" t="s">
        <v>26</v>
      </c>
      <c r="J693" s="15" t="n">
        <v>2012</v>
      </c>
      <c r="K693" s="19" t="s">
        <v>27</v>
      </c>
      <c r="L693" s="15" t="s">
        <v>28</v>
      </c>
      <c r="M693" s="15" t="s">
        <v>33</v>
      </c>
      <c r="N693" s="17"/>
      <c r="O693" s="15" t="s">
        <v>46</v>
      </c>
      <c r="P693" s="15"/>
      <c r="Q693" s="21" t="s">
        <v>577</v>
      </c>
      <c r="R693" s="21"/>
      <c r="S693" s="21"/>
      <c r="T693" s="28"/>
      <c r="U693" s="24" t="s">
        <v>1663</v>
      </c>
    </row>
    <row r="694" s="25" customFormat="true" ht="41.4" hidden="false" customHeight="false" outlineLevel="0" collapsed="false">
      <c r="A694" s="36" t="s">
        <v>1664</v>
      </c>
      <c r="B694" s="26" t="s">
        <v>1665</v>
      </c>
      <c r="C694" s="14" t="s">
        <v>762</v>
      </c>
      <c r="D694" s="15" t="n">
        <v>2</v>
      </c>
      <c r="E694" s="27" t="n">
        <f aca="false">F694/2</f>
        <v>50</v>
      </c>
      <c r="F694" s="16" t="n">
        <v>100</v>
      </c>
      <c r="G694" s="15" t="s">
        <v>36</v>
      </c>
      <c r="H694" s="17" t="s">
        <v>25</v>
      </c>
      <c r="I694" s="18" t="s">
        <v>26</v>
      </c>
      <c r="J694" s="15" t="n">
        <v>2018</v>
      </c>
      <c r="K694" s="19" t="s">
        <v>763</v>
      </c>
      <c r="L694" s="15" t="s">
        <v>28</v>
      </c>
      <c r="M694" s="15" t="s">
        <v>33</v>
      </c>
      <c r="N694" s="20"/>
      <c r="O694" s="15"/>
      <c r="P694" s="15"/>
      <c r="Q694" s="21"/>
      <c r="R694" s="21"/>
      <c r="S694" s="21"/>
      <c r="T694" s="28"/>
      <c r="U694" s="24"/>
    </row>
    <row r="695" s="25" customFormat="true" ht="41.4" hidden="false" customHeight="false" outlineLevel="0" collapsed="false">
      <c r="A695" s="36" t="s">
        <v>1666</v>
      </c>
      <c r="B695" s="26" t="s">
        <v>1667</v>
      </c>
      <c r="C695" s="14" t="s">
        <v>1668</v>
      </c>
      <c r="D695" s="15" t="n">
        <v>6</v>
      </c>
      <c r="E695" s="27" t="n">
        <f aca="false">F695/2</f>
        <v>8000</v>
      </c>
      <c r="F695" s="16" t="n">
        <v>16000</v>
      </c>
      <c r="G695" s="15" t="s">
        <v>36</v>
      </c>
      <c r="H695" s="17" t="s">
        <v>25</v>
      </c>
      <c r="I695" s="18" t="s">
        <v>26</v>
      </c>
      <c r="J695" s="15" t="n">
        <v>2020</v>
      </c>
      <c r="K695" s="19" t="s">
        <v>27</v>
      </c>
      <c r="L695" s="15" t="s">
        <v>28</v>
      </c>
      <c r="M695" s="15" t="s">
        <v>33</v>
      </c>
      <c r="N695" s="17"/>
      <c r="O695" s="15"/>
      <c r="P695" s="15"/>
      <c r="Q695" s="21"/>
      <c r="R695" s="21"/>
      <c r="S695" s="21"/>
      <c r="T695" s="28"/>
      <c r="U695" s="24"/>
    </row>
    <row r="696" s="25" customFormat="true" ht="40.2" hidden="false" customHeight="true" outlineLevel="0" collapsed="false">
      <c r="A696" s="36" t="s">
        <v>1669</v>
      </c>
      <c r="B696" s="26" t="s">
        <v>1670</v>
      </c>
      <c r="C696" s="70" t="s">
        <v>1671</v>
      </c>
      <c r="D696" s="15" t="n">
        <v>12</v>
      </c>
      <c r="E696" s="27" t="n">
        <f aca="false">F696/2</f>
        <v>4100</v>
      </c>
      <c r="F696" s="16" t="n">
        <v>8200</v>
      </c>
      <c r="G696" s="15" t="s">
        <v>36</v>
      </c>
      <c r="H696" s="17" t="s">
        <v>25</v>
      </c>
      <c r="I696" s="18" t="s">
        <v>26</v>
      </c>
      <c r="J696" s="15" t="n">
        <v>2022</v>
      </c>
      <c r="K696" s="19" t="s">
        <v>27</v>
      </c>
      <c r="L696" s="15" t="s">
        <v>28</v>
      </c>
      <c r="M696" s="15" t="s">
        <v>33</v>
      </c>
      <c r="N696" s="20" t="s">
        <v>45</v>
      </c>
      <c r="O696" s="15"/>
      <c r="P696" s="15"/>
      <c r="Q696" s="21"/>
      <c r="R696" s="21"/>
      <c r="S696" s="21"/>
      <c r="T696" s="28"/>
      <c r="U696" s="34"/>
    </row>
    <row r="697" s="25" customFormat="true" ht="41.4" hidden="false" customHeight="false" outlineLevel="0" collapsed="false">
      <c r="A697" s="36" t="s">
        <v>1672</v>
      </c>
      <c r="B697" s="26"/>
      <c r="C697" s="14" t="s">
        <v>122</v>
      </c>
      <c r="D697" s="15" t="n">
        <v>12</v>
      </c>
      <c r="E697" s="27" t="n">
        <v>23628</v>
      </c>
      <c r="F697" s="16" t="n">
        <v>39204</v>
      </c>
      <c r="G697" s="15" t="s">
        <v>36</v>
      </c>
      <c r="H697" s="17" t="s">
        <v>25</v>
      </c>
      <c r="I697" s="18" t="s">
        <v>26</v>
      </c>
      <c r="J697" s="15" t="n">
        <v>2022</v>
      </c>
      <c r="K697" s="19" t="s">
        <v>27</v>
      </c>
      <c r="L697" s="15" t="s">
        <v>28</v>
      </c>
      <c r="M697" s="15" t="s">
        <v>33</v>
      </c>
      <c r="N697" s="17" t="s">
        <v>397</v>
      </c>
      <c r="O697" s="15"/>
      <c r="P697" s="15"/>
      <c r="Q697" s="21"/>
      <c r="R697" s="21"/>
      <c r="S697" s="21"/>
      <c r="T697" s="28"/>
      <c r="U697" s="24"/>
    </row>
    <row r="698" s="25" customFormat="true" ht="41.4" hidden="false" customHeight="false" outlineLevel="0" collapsed="false">
      <c r="A698" s="36" t="s">
        <v>1673</v>
      </c>
      <c r="B698" s="26"/>
      <c r="C698" s="14" t="s">
        <v>1422</v>
      </c>
      <c r="D698" s="15" t="n">
        <v>12</v>
      </c>
      <c r="E698" s="27" t="n">
        <f aca="false">F698/2</f>
        <v>2500</v>
      </c>
      <c r="F698" s="16" t="n">
        <v>5000</v>
      </c>
      <c r="G698" s="15" t="s">
        <v>36</v>
      </c>
      <c r="H698" s="17" t="s">
        <v>25</v>
      </c>
      <c r="I698" s="18" t="s">
        <v>26</v>
      </c>
      <c r="J698" s="15" t="n">
        <v>2023</v>
      </c>
      <c r="K698" s="19" t="s">
        <v>27</v>
      </c>
      <c r="L698" s="15" t="s">
        <v>28</v>
      </c>
      <c r="M698" s="15" t="s">
        <v>33</v>
      </c>
      <c r="N698" s="17"/>
      <c r="O698" s="15"/>
      <c r="P698" s="15"/>
      <c r="Q698" s="21"/>
      <c r="R698" s="21"/>
      <c r="S698" s="21"/>
      <c r="T698" s="28"/>
      <c r="U698" s="24"/>
    </row>
    <row r="699" s="25" customFormat="true" ht="41.4" hidden="false" customHeight="false" outlineLevel="0" collapsed="false">
      <c r="A699" s="36" t="s">
        <v>1674</v>
      </c>
      <c r="B699" s="26" t="s">
        <v>1675</v>
      </c>
      <c r="C699" s="70" t="s">
        <v>122</v>
      </c>
      <c r="D699" s="15" t="n">
        <v>12</v>
      </c>
      <c r="E699" s="27" t="n">
        <v>23628</v>
      </c>
      <c r="F699" s="16" t="n">
        <v>39204</v>
      </c>
      <c r="G699" s="15" t="s">
        <v>36</v>
      </c>
      <c r="H699" s="17" t="s">
        <v>25</v>
      </c>
      <c r="I699" s="18" t="s">
        <v>26</v>
      </c>
      <c r="J699" s="15" t="n">
        <v>2017</v>
      </c>
      <c r="K699" s="19" t="s">
        <v>27</v>
      </c>
      <c r="L699" s="15" t="s">
        <v>28</v>
      </c>
      <c r="M699" s="15" t="s">
        <v>33</v>
      </c>
      <c r="N699" s="17" t="s">
        <v>1676</v>
      </c>
      <c r="O699" s="15"/>
      <c r="P699" s="15"/>
      <c r="Q699" s="21"/>
      <c r="R699" s="21"/>
      <c r="S699" s="21"/>
      <c r="T699" s="28"/>
      <c r="U699" s="24"/>
    </row>
    <row r="700" s="25" customFormat="true" ht="41.4" hidden="false" customHeight="false" outlineLevel="0" collapsed="false">
      <c r="A700" s="36" t="s">
        <v>1677</v>
      </c>
      <c r="B700" s="26"/>
      <c r="C700" s="70" t="s">
        <v>35</v>
      </c>
      <c r="D700" s="15" t="n">
        <v>6</v>
      </c>
      <c r="E700" s="27" t="n">
        <f aca="false">F700/2</f>
        <v>50</v>
      </c>
      <c r="F700" s="16" t="n">
        <v>100</v>
      </c>
      <c r="G700" s="15" t="s">
        <v>36</v>
      </c>
      <c r="H700" s="17" t="s">
        <v>25</v>
      </c>
      <c r="I700" s="18" t="s">
        <v>26</v>
      </c>
      <c r="J700" s="15" t="n">
        <v>2025</v>
      </c>
      <c r="K700" s="19" t="s">
        <v>37</v>
      </c>
      <c r="L700" s="15" t="s">
        <v>28</v>
      </c>
      <c r="M700" s="15"/>
      <c r="N700" s="17"/>
      <c r="O700" s="15"/>
      <c r="P700" s="15"/>
      <c r="Q700" s="21"/>
      <c r="R700" s="21"/>
      <c r="S700" s="21"/>
      <c r="T700" s="28"/>
      <c r="U700" s="24"/>
    </row>
    <row r="701" s="25" customFormat="true" ht="41.4" hidden="false" customHeight="false" outlineLevel="0" collapsed="false">
      <c r="A701" s="36" t="s">
        <v>1678</v>
      </c>
      <c r="B701" s="26" t="s">
        <v>1679</v>
      </c>
      <c r="C701" s="70" t="s">
        <v>1680</v>
      </c>
      <c r="D701" s="15" t="n">
        <v>12</v>
      </c>
      <c r="E701" s="27" t="n">
        <v>1500</v>
      </c>
      <c r="F701" s="16" t="n">
        <v>3000</v>
      </c>
      <c r="G701" s="15" t="s">
        <v>36</v>
      </c>
      <c r="H701" s="17" t="s">
        <v>25</v>
      </c>
      <c r="I701" s="18" t="s">
        <v>26</v>
      </c>
      <c r="J701" s="15" t="n">
        <v>2022</v>
      </c>
      <c r="K701" s="19" t="s">
        <v>27</v>
      </c>
      <c r="L701" s="15" t="s">
        <v>28</v>
      </c>
      <c r="M701" s="15" t="s">
        <v>33</v>
      </c>
      <c r="N701" s="17" t="s">
        <v>1227</v>
      </c>
      <c r="O701" s="15"/>
      <c r="P701" s="15"/>
      <c r="Q701" s="21"/>
      <c r="R701" s="21"/>
      <c r="S701" s="21"/>
      <c r="T701" s="28"/>
      <c r="U701" s="24"/>
    </row>
    <row r="702" s="25" customFormat="true" ht="41.4" hidden="false" customHeight="false" outlineLevel="0" collapsed="false">
      <c r="A702" s="36" t="s">
        <v>1681</v>
      </c>
      <c r="B702" s="26" t="s">
        <v>1682</v>
      </c>
      <c r="C702" s="70" t="s">
        <v>1683</v>
      </c>
      <c r="D702" s="15" t="n">
        <v>4</v>
      </c>
      <c r="E702" s="27" t="n">
        <f aca="false">F702/2</f>
        <v>900</v>
      </c>
      <c r="F702" s="16" t="n">
        <v>1800</v>
      </c>
      <c r="G702" s="15" t="s">
        <v>36</v>
      </c>
      <c r="H702" s="17" t="s">
        <v>25</v>
      </c>
      <c r="I702" s="18" t="s">
        <v>26</v>
      </c>
      <c r="J702" s="15" t="n">
        <v>2022</v>
      </c>
      <c r="K702" s="19" t="s">
        <v>27</v>
      </c>
      <c r="L702" s="15" t="s">
        <v>28</v>
      </c>
      <c r="M702" s="15" t="s">
        <v>33</v>
      </c>
      <c r="N702" s="17" t="s">
        <v>45</v>
      </c>
      <c r="O702" s="15"/>
      <c r="P702" s="15"/>
      <c r="Q702" s="21"/>
      <c r="R702" s="21"/>
      <c r="S702" s="21"/>
      <c r="T702" s="28"/>
      <c r="U702" s="24"/>
    </row>
    <row r="703" s="25" customFormat="true" ht="41.4" hidden="false" customHeight="false" outlineLevel="0" collapsed="false">
      <c r="A703" s="36" t="s">
        <v>1684</v>
      </c>
      <c r="B703" s="26" t="s">
        <v>1685</v>
      </c>
      <c r="C703" s="70" t="s">
        <v>1686</v>
      </c>
      <c r="D703" s="15" t="n">
        <v>10</v>
      </c>
      <c r="E703" s="27" t="n">
        <f aca="false">F703/2</f>
        <v>11500</v>
      </c>
      <c r="F703" s="16" t="n">
        <v>23000</v>
      </c>
      <c r="G703" s="15" t="s">
        <v>36</v>
      </c>
      <c r="H703" s="17" t="s">
        <v>25</v>
      </c>
      <c r="I703" s="18" t="s">
        <v>26</v>
      </c>
      <c r="J703" s="15" t="n">
        <v>2020</v>
      </c>
      <c r="K703" s="19" t="s">
        <v>27</v>
      </c>
      <c r="L703" s="15" t="s">
        <v>28</v>
      </c>
      <c r="M703" s="15" t="s">
        <v>33</v>
      </c>
      <c r="N703" s="17" t="s">
        <v>45</v>
      </c>
      <c r="O703" s="15"/>
      <c r="P703" s="15"/>
      <c r="Q703" s="21"/>
      <c r="R703" s="21"/>
      <c r="S703" s="21"/>
      <c r="T703" s="31" t="n">
        <v>45901</v>
      </c>
      <c r="U703" s="24"/>
    </row>
    <row r="704" s="25" customFormat="true" ht="41.4" hidden="false" customHeight="false" outlineLevel="0" collapsed="false">
      <c r="A704" s="36" t="s">
        <v>1687</v>
      </c>
      <c r="B704" s="26" t="s">
        <v>1688</v>
      </c>
      <c r="C704" s="70" t="s">
        <v>1048</v>
      </c>
      <c r="D704" s="15" t="n">
        <v>8</v>
      </c>
      <c r="E704" s="27" t="n">
        <v>1118</v>
      </c>
      <c r="F704" s="16" t="n">
        <f aca="false">E704*2</f>
        <v>2236</v>
      </c>
      <c r="G704" s="15" t="s">
        <v>36</v>
      </c>
      <c r="H704" s="17" t="s">
        <v>25</v>
      </c>
      <c r="I704" s="18" t="s">
        <v>26</v>
      </c>
      <c r="J704" s="15" t="n">
        <v>2021</v>
      </c>
      <c r="K704" s="19" t="s">
        <v>27</v>
      </c>
      <c r="L704" s="15" t="s">
        <v>28</v>
      </c>
      <c r="M704" s="15" t="s">
        <v>33</v>
      </c>
      <c r="N704" s="20" t="s">
        <v>45</v>
      </c>
      <c r="O704" s="15"/>
      <c r="P704" s="15"/>
      <c r="Q704" s="21"/>
      <c r="R704" s="21"/>
      <c r="S704" s="21"/>
      <c r="T704" s="31" t="n">
        <v>45897</v>
      </c>
      <c r="U704" s="34"/>
    </row>
    <row r="705" s="25" customFormat="true" ht="41.4" hidden="false" customHeight="false" outlineLevel="0" collapsed="false">
      <c r="A705" s="36" t="s">
        <v>1689</v>
      </c>
      <c r="B705" s="26" t="s">
        <v>1690</v>
      </c>
      <c r="C705" s="70" t="s">
        <v>426</v>
      </c>
      <c r="D705" s="15" t="n">
        <v>4</v>
      </c>
      <c r="E705" s="27" t="n">
        <f aca="false">F705/2</f>
        <v>50</v>
      </c>
      <c r="F705" s="16" t="n">
        <v>100</v>
      </c>
      <c r="G705" s="15" t="s">
        <v>36</v>
      </c>
      <c r="H705" s="17" t="s">
        <v>25</v>
      </c>
      <c r="I705" s="18" t="s">
        <v>26</v>
      </c>
      <c r="J705" s="15" t="n">
        <v>2017</v>
      </c>
      <c r="K705" s="19" t="s">
        <v>427</v>
      </c>
      <c r="L705" s="15" t="s">
        <v>28</v>
      </c>
      <c r="M705" s="15" t="s">
        <v>33</v>
      </c>
      <c r="N705" s="17" t="s">
        <v>45</v>
      </c>
      <c r="O705" s="15"/>
      <c r="P705" s="15"/>
      <c r="Q705" s="21" t="s">
        <v>78</v>
      </c>
      <c r="R705" s="21"/>
      <c r="S705" s="21"/>
      <c r="T705" s="28"/>
      <c r="U705" s="24"/>
    </row>
    <row r="706" s="25" customFormat="true" ht="41.4" hidden="false" customHeight="false" outlineLevel="0" collapsed="false">
      <c r="A706" s="36" t="s">
        <v>1691</v>
      </c>
      <c r="B706" s="26" t="s">
        <v>1692</v>
      </c>
      <c r="C706" s="70" t="s">
        <v>1693</v>
      </c>
      <c r="D706" s="15" t="n">
        <v>6</v>
      </c>
      <c r="E706" s="27" t="n">
        <f aca="false">F706/2</f>
        <v>5760</v>
      </c>
      <c r="F706" s="71" t="n">
        <f aca="false">9600*1.2</f>
        <v>11520</v>
      </c>
      <c r="G706" s="15" t="s">
        <v>36</v>
      </c>
      <c r="H706" s="17" t="s">
        <v>25</v>
      </c>
      <c r="I706" s="18" t="s">
        <v>26</v>
      </c>
      <c r="J706" s="15" t="n">
        <v>2018</v>
      </c>
      <c r="K706" s="19" t="s">
        <v>27</v>
      </c>
      <c r="L706" s="15" t="s">
        <v>28</v>
      </c>
      <c r="M706" s="15" t="s">
        <v>33</v>
      </c>
      <c r="N706" s="17" t="s">
        <v>72</v>
      </c>
      <c r="O706" s="15"/>
      <c r="P706" s="15"/>
      <c r="Q706" s="21"/>
      <c r="R706" s="21"/>
      <c r="S706" s="21"/>
      <c r="T706" s="28"/>
      <c r="U706" s="24"/>
    </row>
    <row r="707" s="25" customFormat="true" ht="41.4" hidden="false" customHeight="false" outlineLevel="0" collapsed="false">
      <c r="A707" s="36" t="s">
        <v>1694</v>
      </c>
      <c r="B707" s="26" t="s">
        <v>1695</v>
      </c>
      <c r="C707" s="14" t="s">
        <v>1693</v>
      </c>
      <c r="D707" s="15" t="n">
        <v>6</v>
      </c>
      <c r="E707" s="27" t="n">
        <f aca="false">F707/2</f>
        <v>5760</v>
      </c>
      <c r="F707" s="71" t="n">
        <f aca="false">9600*1.2</f>
        <v>11520</v>
      </c>
      <c r="G707" s="15" t="s">
        <v>36</v>
      </c>
      <c r="H707" s="17" t="s">
        <v>25</v>
      </c>
      <c r="I707" s="18" t="s">
        <v>26</v>
      </c>
      <c r="J707" s="15" t="n">
        <v>2018</v>
      </c>
      <c r="K707" s="19" t="s">
        <v>27</v>
      </c>
      <c r="L707" s="15" t="s">
        <v>28</v>
      </c>
      <c r="M707" s="15" t="s">
        <v>33</v>
      </c>
      <c r="N707" s="17" t="s">
        <v>72</v>
      </c>
      <c r="O707" s="15"/>
      <c r="P707" s="15"/>
      <c r="Q707" s="21"/>
      <c r="R707" s="21"/>
      <c r="S707" s="21"/>
      <c r="T707" s="28"/>
      <c r="U707" s="24"/>
    </row>
    <row r="708" s="25" customFormat="true" ht="41.4" hidden="false" customHeight="false" outlineLevel="0" collapsed="false">
      <c r="A708" s="36" t="s">
        <v>1696</v>
      </c>
      <c r="B708" s="26" t="s">
        <v>1697</v>
      </c>
      <c r="C708" s="70" t="s">
        <v>122</v>
      </c>
      <c r="D708" s="15" t="n">
        <v>12</v>
      </c>
      <c r="E708" s="27" t="n">
        <v>23628</v>
      </c>
      <c r="F708" s="16" t="n">
        <v>39204</v>
      </c>
      <c r="G708" s="15" t="s">
        <v>36</v>
      </c>
      <c r="H708" s="17" t="s">
        <v>25</v>
      </c>
      <c r="I708" s="18" t="s">
        <v>26</v>
      </c>
      <c r="J708" s="15" t="n">
        <v>2017</v>
      </c>
      <c r="K708" s="19" t="s">
        <v>27</v>
      </c>
      <c r="L708" s="15" t="s">
        <v>28</v>
      </c>
      <c r="M708" s="15" t="s">
        <v>33</v>
      </c>
      <c r="N708" s="17" t="s">
        <v>397</v>
      </c>
      <c r="O708" s="15"/>
      <c r="P708" s="15"/>
      <c r="Q708" s="21"/>
      <c r="R708" s="21"/>
      <c r="S708" s="21"/>
      <c r="T708" s="28"/>
      <c r="U708" s="24"/>
    </row>
    <row r="709" s="25" customFormat="true" ht="41.4" hidden="false" customHeight="false" outlineLevel="0" collapsed="false">
      <c r="A709" s="36" t="s">
        <v>1698</v>
      </c>
      <c r="B709" s="26" t="s">
        <v>1699</v>
      </c>
      <c r="C709" s="14" t="s">
        <v>122</v>
      </c>
      <c r="D709" s="15" t="n">
        <v>12</v>
      </c>
      <c r="E709" s="27" t="n">
        <v>23628</v>
      </c>
      <c r="F709" s="16" t="n">
        <v>39204</v>
      </c>
      <c r="G709" s="15" t="s">
        <v>36</v>
      </c>
      <c r="H709" s="17" t="s">
        <v>25</v>
      </c>
      <c r="I709" s="18" t="s">
        <v>26</v>
      </c>
      <c r="J709" s="15" t="n">
        <v>2017</v>
      </c>
      <c r="K709" s="19" t="s">
        <v>27</v>
      </c>
      <c r="L709" s="15" t="s">
        <v>28</v>
      </c>
      <c r="M709" s="15" t="s">
        <v>33</v>
      </c>
      <c r="N709" s="17" t="s">
        <v>72</v>
      </c>
      <c r="O709" s="15"/>
      <c r="P709" s="15"/>
      <c r="Q709" s="21"/>
      <c r="R709" s="21"/>
      <c r="S709" s="21"/>
      <c r="T709" s="28"/>
      <c r="U709" s="24"/>
    </row>
    <row r="710" s="25" customFormat="true" ht="41.4" hidden="false" customHeight="false" outlineLevel="0" collapsed="false">
      <c r="A710" s="36" t="s">
        <v>1700</v>
      </c>
      <c r="B710" s="26"/>
      <c r="C710" s="14" t="s">
        <v>122</v>
      </c>
      <c r="D710" s="15" t="n">
        <v>12</v>
      </c>
      <c r="E710" s="27" t="n">
        <v>14190</v>
      </c>
      <c r="F710" s="16" t="n">
        <v>28380</v>
      </c>
      <c r="G710" s="15" t="s">
        <v>36</v>
      </c>
      <c r="H710" s="17" t="s">
        <v>25</v>
      </c>
      <c r="I710" s="18" t="s">
        <v>26</v>
      </c>
      <c r="J710" s="15" t="n">
        <v>2025</v>
      </c>
      <c r="K710" s="19" t="s">
        <v>27</v>
      </c>
      <c r="L710" s="15" t="s">
        <v>28</v>
      </c>
      <c r="M710" s="15" t="s">
        <v>33</v>
      </c>
      <c r="N710" s="17"/>
      <c r="O710" s="15"/>
      <c r="P710" s="15"/>
      <c r="Q710" s="21"/>
      <c r="R710" s="21"/>
      <c r="S710" s="21"/>
      <c r="T710" s="28"/>
      <c r="U710" s="24"/>
    </row>
    <row r="711" s="25" customFormat="true" ht="41.4" hidden="false" customHeight="false" outlineLevel="0" collapsed="false">
      <c r="A711" s="36" t="s">
        <v>1701</v>
      </c>
      <c r="B711" s="26" t="s">
        <v>1702</v>
      </c>
      <c r="C711" s="14" t="s">
        <v>938</v>
      </c>
      <c r="D711" s="15" t="n">
        <v>4</v>
      </c>
      <c r="E711" s="27" t="n">
        <f aca="false">F711/2</f>
        <v>1152</v>
      </c>
      <c r="F711" s="16" t="n">
        <f aca="false">1920*1.2</f>
        <v>2304</v>
      </c>
      <c r="G711" s="15" t="s">
        <v>24</v>
      </c>
      <c r="H711" s="17" t="s">
        <v>25</v>
      </c>
      <c r="I711" s="18" t="s">
        <v>26</v>
      </c>
      <c r="J711" s="15" t="n">
        <v>2005</v>
      </c>
      <c r="K711" s="19" t="s">
        <v>27</v>
      </c>
      <c r="L711" s="15" t="s">
        <v>28</v>
      </c>
      <c r="M711" s="15" t="s">
        <v>33</v>
      </c>
      <c r="N711" s="17" t="s">
        <v>83</v>
      </c>
      <c r="O711" s="15"/>
      <c r="P711" s="15"/>
      <c r="Q711" s="21" t="s">
        <v>939</v>
      </c>
      <c r="R711" s="21"/>
      <c r="S711" s="21"/>
      <c r="T711" s="28"/>
      <c r="U711" s="24" t="s">
        <v>1703</v>
      </c>
    </row>
    <row r="712" s="25" customFormat="true" ht="41.4" hidden="false" customHeight="false" outlineLevel="0" collapsed="false">
      <c r="A712" s="36" t="s">
        <v>1704</v>
      </c>
      <c r="B712" s="26" t="s">
        <v>1705</v>
      </c>
      <c r="C712" s="70" t="s">
        <v>307</v>
      </c>
      <c r="D712" s="15" t="n">
        <v>4</v>
      </c>
      <c r="E712" s="27" t="n">
        <f aca="false">F712/2</f>
        <v>50</v>
      </c>
      <c r="F712" s="16" t="n">
        <v>100</v>
      </c>
      <c r="G712" s="15" t="s">
        <v>36</v>
      </c>
      <c r="H712" s="17" t="s">
        <v>25</v>
      </c>
      <c r="I712" s="18" t="s">
        <v>26</v>
      </c>
      <c r="J712" s="15" t="n">
        <v>2019</v>
      </c>
      <c r="K712" s="19" t="s">
        <v>27</v>
      </c>
      <c r="L712" s="15" t="s">
        <v>28</v>
      </c>
      <c r="M712" s="15" t="s">
        <v>33</v>
      </c>
      <c r="N712" s="17" t="s">
        <v>83</v>
      </c>
      <c r="O712" s="15"/>
      <c r="P712" s="15"/>
      <c r="Q712" s="21"/>
      <c r="R712" s="21"/>
      <c r="S712" s="21"/>
      <c r="T712" s="28"/>
      <c r="U712" s="34"/>
    </row>
    <row r="713" s="25" customFormat="true" ht="41.4" hidden="false" customHeight="false" outlineLevel="0" collapsed="false">
      <c r="A713" s="36" t="s">
        <v>1706</v>
      </c>
      <c r="B713" s="26" t="s">
        <v>1707</v>
      </c>
      <c r="C713" s="70" t="s">
        <v>1708</v>
      </c>
      <c r="D713" s="15" t="n">
        <v>4</v>
      </c>
      <c r="E713" s="27" t="n">
        <v>600</v>
      </c>
      <c r="F713" s="16" t="n">
        <v>1200</v>
      </c>
      <c r="G713" s="15" t="s">
        <v>24</v>
      </c>
      <c r="H713" s="17" t="s">
        <v>25</v>
      </c>
      <c r="I713" s="18" t="s">
        <v>26</v>
      </c>
      <c r="J713" s="15"/>
      <c r="K713" s="19" t="s">
        <v>65</v>
      </c>
      <c r="L713" s="15" t="s">
        <v>28</v>
      </c>
      <c r="M713" s="15" t="s">
        <v>33</v>
      </c>
      <c r="N713" s="17" t="s">
        <v>83</v>
      </c>
      <c r="O713" s="15" t="s">
        <v>54</v>
      </c>
      <c r="P713" s="15"/>
      <c r="Q713" s="21" t="s">
        <v>302</v>
      </c>
      <c r="R713" s="21"/>
      <c r="S713" s="21"/>
      <c r="T713" s="28"/>
      <c r="U713" s="24"/>
    </row>
    <row r="714" s="25" customFormat="true" ht="79.8" hidden="false" customHeight="false" outlineLevel="0" collapsed="false">
      <c r="A714" s="36" t="s">
        <v>1709</v>
      </c>
      <c r="B714" s="26" t="s">
        <v>1710</v>
      </c>
      <c r="C714" s="14" t="s">
        <v>1711</v>
      </c>
      <c r="D714" s="15" t="n">
        <v>6</v>
      </c>
      <c r="E714" s="27" t="n">
        <f aca="false">F714/2</f>
        <v>50</v>
      </c>
      <c r="F714" s="16" t="n">
        <v>100</v>
      </c>
      <c r="G714" s="15" t="s">
        <v>24</v>
      </c>
      <c r="H714" s="17" t="s">
        <v>25</v>
      </c>
      <c r="I714" s="18" t="s">
        <v>26</v>
      </c>
      <c r="J714" s="15" t="n">
        <v>2012</v>
      </c>
      <c r="K714" s="19" t="s">
        <v>27</v>
      </c>
      <c r="L714" s="15" t="s">
        <v>28</v>
      </c>
      <c r="M714" s="15" t="s">
        <v>33</v>
      </c>
      <c r="N714" s="17" t="s">
        <v>45</v>
      </c>
      <c r="O714" s="15"/>
      <c r="P714" s="15"/>
      <c r="Q714" s="21" t="s">
        <v>862</v>
      </c>
      <c r="R714" s="21"/>
      <c r="S714" s="21"/>
      <c r="T714" s="28"/>
      <c r="U714" s="24" t="s">
        <v>1712</v>
      </c>
    </row>
    <row r="715" s="25" customFormat="true" ht="57" hidden="false" customHeight="false" outlineLevel="0" collapsed="false">
      <c r="A715" s="36" t="s">
        <v>1713</v>
      </c>
      <c r="B715" s="26" t="s">
        <v>1714</v>
      </c>
      <c r="C715" s="70" t="s">
        <v>1711</v>
      </c>
      <c r="D715" s="15" t="n">
        <v>6</v>
      </c>
      <c r="E715" s="27" t="n">
        <f aca="false">F715/2</f>
        <v>50</v>
      </c>
      <c r="F715" s="16" t="n">
        <v>100</v>
      </c>
      <c r="G715" s="15" t="s">
        <v>24</v>
      </c>
      <c r="H715" s="17" t="s">
        <v>25</v>
      </c>
      <c r="I715" s="18" t="s">
        <v>26</v>
      </c>
      <c r="J715" s="15" t="n">
        <v>2012</v>
      </c>
      <c r="K715" s="19" t="s">
        <v>27</v>
      </c>
      <c r="L715" s="15" t="s">
        <v>28</v>
      </c>
      <c r="M715" s="15" t="s">
        <v>33</v>
      </c>
      <c r="N715" s="17" t="s">
        <v>45</v>
      </c>
      <c r="O715" s="15"/>
      <c r="P715" s="15"/>
      <c r="Q715" s="21" t="s">
        <v>862</v>
      </c>
      <c r="R715" s="21"/>
      <c r="S715" s="21"/>
      <c r="T715" s="28"/>
      <c r="U715" s="24" t="s">
        <v>1715</v>
      </c>
    </row>
    <row r="716" s="25" customFormat="true" ht="41.4" hidden="false" customHeight="false" outlineLevel="0" collapsed="false">
      <c r="A716" s="36" t="s">
        <v>1716</v>
      </c>
      <c r="B716" s="26" t="s">
        <v>1717</v>
      </c>
      <c r="C716" s="14" t="s">
        <v>122</v>
      </c>
      <c r="D716" s="15" t="n">
        <v>6</v>
      </c>
      <c r="E716" s="27" t="n">
        <v>11814</v>
      </c>
      <c r="F716" s="16" t="n">
        <v>23628</v>
      </c>
      <c r="G716" s="15" t="s">
        <v>36</v>
      </c>
      <c r="H716" s="17" t="s">
        <v>25</v>
      </c>
      <c r="I716" s="18" t="s">
        <v>26</v>
      </c>
      <c r="J716" s="15" t="n">
        <v>2018</v>
      </c>
      <c r="K716" s="19" t="s">
        <v>27</v>
      </c>
      <c r="L716" s="15" t="s">
        <v>28</v>
      </c>
      <c r="M716" s="15" t="s">
        <v>33</v>
      </c>
      <c r="N716" s="17" t="s">
        <v>96</v>
      </c>
      <c r="O716" s="15"/>
      <c r="P716" s="15"/>
      <c r="Q716" s="21"/>
      <c r="R716" s="21"/>
      <c r="S716" s="21"/>
      <c r="T716" s="28"/>
      <c r="U716" s="24"/>
    </row>
    <row r="717" s="25" customFormat="true" ht="41.4" hidden="false" customHeight="false" outlineLevel="0" collapsed="false">
      <c r="A717" s="36" t="s">
        <v>1718</v>
      </c>
      <c r="B717" s="26" t="s">
        <v>1719</v>
      </c>
      <c r="C717" s="14" t="s">
        <v>335</v>
      </c>
      <c r="D717" s="15" t="n">
        <v>6</v>
      </c>
      <c r="E717" s="27" t="n">
        <f aca="false">F717/2</f>
        <v>21600</v>
      </c>
      <c r="F717" s="16" t="n">
        <f aca="false">6*7200</f>
        <v>43200</v>
      </c>
      <c r="G717" s="15" t="s">
        <v>36</v>
      </c>
      <c r="H717" s="17" t="s">
        <v>25</v>
      </c>
      <c r="I717" s="18" t="s">
        <v>26</v>
      </c>
      <c r="J717" s="15" t="n">
        <v>2020</v>
      </c>
      <c r="K717" s="19" t="s">
        <v>27</v>
      </c>
      <c r="L717" s="15" t="s">
        <v>28</v>
      </c>
      <c r="M717" s="15" t="s">
        <v>33</v>
      </c>
      <c r="N717" s="17" t="s">
        <v>96</v>
      </c>
      <c r="O717" s="15" t="s">
        <v>46</v>
      </c>
      <c r="P717" s="15"/>
      <c r="Q717" s="21"/>
      <c r="R717" s="21"/>
      <c r="S717" s="21"/>
      <c r="T717" s="28"/>
      <c r="U717" s="34"/>
    </row>
    <row r="718" s="25" customFormat="true" ht="41.4" hidden="false" customHeight="false" outlineLevel="0" collapsed="false">
      <c r="A718" s="36" t="s">
        <v>1720</v>
      </c>
      <c r="B718" s="26" t="s">
        <v>1721</v>
      </c>
      <c r="C718" s="14" t="s">
        <v>1722</v>
      </c>
      <c r="D718" s="15" t="n">
        <v>6</v>
      </c>
      <c r="E718" s="27" t="n">
        <f aca="false">F718/2</f>
        <v>50</v>
      </c>
      <c r="F718" s="16" t="n">
        <v>100</v>
      </c>
      <c r="G718" s="15" t="s">
        <v>36</v>
      </c>
      <c r="H718" s="17" t="s">
        <v>25</v>
      </c>
      <c r="I718" s="18" t="s">
        <v>26</v>
      </c>
      <c r="J718" s="15" t="n">
        <v>2015</v>
      </c>
      <c r="K718" s="19" t="s">
        <v>27</v>
      </c>
      <c r="L718" s="15" t="s">
        <v>28</v>
      </c>
      <c r="M718" s="15" t="s">
        <v>33</v>
      </c>
      <c r="N718" s="17" t="s">
        <v>96</v>
      </c>
      <c r="O718" s="15"/>
      <c r="P718" s="15"/>
      <c r="Q718" s="21" t="s">
        <v>97</v>
      </c>
      <c r="R718" s="21"/>
      <c r="S718" s="21"/>
      <c r="T718" s="28"/>
      <c r="U718" s="24"/>
    </row>
    <row r="719" s="25" customFormat="true" ht="41.4" hidden="false" customHeight="false" outlineLevel="0" collapsed="false">
      <c r="A719" s="36" t="s">
        <v>1723</v>
      </c>
      <c r="B719" s="26"/>
      <c r="C719" s="70" t="s">
        <v>1724</v>
      </c>
      <c r="D719" s="15" t="n">
        <v>6</v>
      </c>
      <c r="E719" s="16" t="n">
        <f aca="false">F719/2</f>
        <v>1183.5</v>
      </c>
      <c r="F719" s="16" t="n">
        <f aca="false">CEILING(1972*1.2,1)</f>
        <v>2367</v>
      </c>
      <c r="G719" s="15" t="s">
        <v>36</v>
      </c>
      <c r="H719" s="17" t="s">
        <v>25</v>
      </c>
      <c r="I719" s="18" t="s">
        <v>26</v>
      </c>
      <c r="J719" s="15" t="n">
        <v>2024</v>
      </c>
      <c r="K719" s="19" t="s">
        <v>1725</v>
      </c>
      <c r="L719" s="15" t="s">
        <v>28</v>
      </c>
      <c r="M719" s="15" t="s">
        <v>33</v>
      </c>
      <c r="N719" s="17"/>
      <c r="O719" s="15"/>
      <c r="P719" s="15"/>
      <c r="Q719" s="21"/>
      <c r="R719" s="21"/>
      <c r="S719" s="21"/>
      <c r="T719" s="28"/>
      <c r="U719" s="24"/>
    </row>
    <row r="720" s="25" customFormat="true" ht="41.4" hidden="false" customHeight="false" outlineLevel="0" collapsed="false">
      <c r="A720" s="36" t="s">
        <v>96</v>
      </c>
      <c r="B720" s="26" t="s">
        <v>1726</v>
      </c>
      <c r="C720" s="70" t="s">
        <v>434</v>
      </c>
      <c r="D720" s="15" t="n">
        <v>12</v>
      </c>
      <c r="E720" s="27" t="n">
        <f aca="false">F720/2</f>
        <v>55200</v>
      </c>
      <c r="F720" s="16" t="n">
        <v>110400</v>
      </c>
      <c r="G720" s="15" t="s">
        <v>36</v>
      </c>
      <c r="H720" s="17" t="s">
        <v>25</v>
      </c>
      <c r="I720" s="18" t="s">
        <v>26</v>
      </c>
      <c r="J720" s="15" t="n">
        <v>2020</v>
      </c>
      <c r="K720" s="19" t="s">
        <v>27</v>
      </c>
      <c r="L720" s="15" t="s">
        <v>28</v>
      </c>
      <c r="M720" s="15" t="s">
        <v>33</v>
      </c>
      <c r="N720" s="20" t="s">
        <v>96</v>
      </c>
      <c r="O720" s="15"/>
      <c r="P720" s="15"/>
      <c r="Q720" s="21" t="s">
        <v>78</v>
      </c>
      <c r="R720" s="21"/>
      <c r="S720" s="21"/>
      <c r="T720" s="31" t="n">
        <v>45880</v>
      </c>
      <c r="U720" s="34"/>
    </row>
    <row r="721" s="25" customFormat="true" ht="41.4" hidden="false" customHeight="false" outlineLevel="0" collapsed="false">
      <c r="A721" s="36" t="s">
        <v>1727</v>
      </c>
      <c r="B721" s="26" t="s">
        <v>1728</v>
      </c>
      <c r="C721" s="14" t="s">
        <v>122</v>
      </c>
      <c r="D721" s="15" t="n">
        <v>12</v>
      </c>
      <c r="E721" s="27" t="n">
        <v>23628</v>
      </c>
      <c r="F721" s="16" t="n">
        <v>39204</v>
      </c>
      <c r="G721" s="15" t="s">
        <v>36</v>
      </c>
      <c r="H721" s="17" t="s">
        <v>25</v>
      </c>
      <c r="I721" s="18" t="s">
        <v>26</v>
      </c>
      <c r="J721" s="15" t="n">
        <v>2017</v>
      </c>
      <c r="K721" s="19" t="s">
        <v>27</v>
      </c>
      <c r="L721" s="15" t="s">
        <v>28</v>
      </c>
      <c r="M721" s="15" t="s">
        <v>33</v>
      </c>
      <c r="N721" s="17" t="s">
        <v>96</v>
      </c>
      <c r="O721" s="15"/>
      <c r="P721" s="15"/>
      <c r="Q721" s="21"/>
      <c r="R721" s="21"/>
      <c r="S721" s="21"/>
      <c r="T721" s="28"/>
      <c r="U721" s="24"/>
    </row>
    <row r="722" s="25" customFormat="true" ht="41.4" hidden="false" customHeight="false" outlineLevel="0" collapsed="false">
      <c r="A722" s="36" t="s">
        <v>1729</v>
      </c>
      <c r="B722" s="26" t="s">
        <v>1730</v>
      </c>
      <c r="C722" s="70" t="s">
        <v>1731</v>
      </c>
      <c r="D722" s="15" t="n">
        <v>4</v>
      </c>
      <c r="E722" s="27" t="n">
        <f aca="false">F722/2</f>
        <v>2200</v>
      </c>
      <c r="F722" s="16" t="n">
        <v>4400</v>
      </c>
      <c r="G722" s="15" t="s">
        <v>36</v>
      </c>
      <c r="H722" s="17" t="s">
        <v>25</v>
      </c>
      <c r="I722" s="18" t="s">
        <v>26</v>
      </c>
      <c r="J722" s="15" t="n">
        <v>2019</v>
      </c>
      <c r="K722" s="19" t="s">
        <v>27</v>
      </c>
      <c r="L722" s="15" t="s">
        <v>28</v>
      </c>
      <c r="M722" s="15" t="s">
        <v>33</v>
      </c>
      <c r="N722" s="17" t="s">
        <v>96</v>
      </c>
      <c r="O722" s="15"/>
      <c r="P722" s="15"/>
      <c r="Q722" s="21" t="s">
        <v>78</v>
      </c>
      <c r="R722" s="21"/>
      <c r="S722" s="21"/>
      <c r="T722" s="28"/>
      <c r="U722" s="24"/>
    </row>
    <row r="723" s="25" customFormat="true" ht="41.4" hidden="false" customHeight="false" outlineLevel="0" collapsed="false">
      <c r="A723" s="36" t="s">
        <v>1732</v>
      </c>
      <c r="B723" s="26"/>
      <c r="C723" s="14" t="s">
        <v>1733</v>
      </c>
      <c r="D723" s="15" t="n">
        <v>4</v>
      </c>
      <c r="E723" s="16" t="n">
        <f aca="false">F723/2</f>
        <v>2080</v>
      </c>
      <c r="F723" s="16" t="n">
        <f aca="false">4160</f>
        <v>4160</v>
      </c>
      <c r="G723" s="15" t="s">
        <v>36</v>
      </c>
      <c r="H723" s="17" t="s">
        <v>25</v>
      </c>
      <c r="I723" s="18" t="s">
        <v>26</v>
      </c>
      <c r="J723" s="15" t="n">
        <v>2025</v>
      </c>
      <c r="K723" s="19" t="s">
        <v>27</v>
      </c>
      <c r="L723" s="15" t="s">
        <v>28</v>
      </c>
      <c r="M723" s="15" t="s">
        <v>33</v>
      </c>
      <c r="N723" s="17" t="s">
        <v>96</v>
      </c>
      <c r="O723" s="15"/>
      <c r="P723" s="15"/>
      <c r="Q723" s="21"/>
      <c r="R723" s="21"/>
      <c r="S723" s="21"/>
      <c r="T723" s="28"/>
      <c r="U723" s="24"/>
    </row>
    <row r="724" s="25" customFormat="true" ht="41.4" hidden="false" customHeight="false" outlineLevel="0" collapsed="false">
      <c r="A724" s="36" t="s">
        <v>1734</v>
      </c>
      <c r="B724" s="26"/>
      <c r="C724" s="14" t="s">
        <v>1733</v>
      </c>
      <c r="D724" s="15" t="n">
        <v>4</v>
      </c>
      <c r="E724" s="16" t="n">
        <f aca="false">F724/2</f>
        <v>2080</v>
      </c>
      <c r="F724" s="16" t="n">
        <f aca="false">4160</f>
        <v>4160</v>
      </c>
      <c r="G724" s="15" t="s">
        <v>36</v>
      </c>
      <c r="H724" s="17" t="s">
        <v>25</v>
      </c>
      <c r="I724" s="18" t="s">
        <v>26</v>
      </c>
      <c r="J724" s="15" t="n">
        <v>2025</v>
      </c>
      <c r="K724" s="19" t="s">
        <v>27</v>
      </c>
      <c r="L724" s="15" t="s">
        <v>28</v>
      </c>
      <c r="M724" s="15" t="s">
        <v>33</v>
      </c>
      <c r="N724" s="17" t="s">
        <v>96</v>
      </c>
      <c r="O724" s="15"/>
      <c r="P724" s="15"/>
      <c r="Q724" s="21"/>
      <c r="R724" s="21"/>
      <c r="S724" s="21"/>
      <c r="T724" s="28"/>
      <c r="U724" s="24"/>
    </row>
    <row r="725" s="25" customFormat="true" ht="41.4" hidden="false" customHeight="false" outlineLevel="0" collapsed="false">
      <c r="A725" s="36" t="s">
        <v>1735</v>
      </c>
      <c r="B725" s="26"/>
      <c r="C725" s="14" t="s">
        <v>122</v>
      </c>
      <c r="D725" s="15" t="n">
        <v>12</v>
      </c>
      <c r="E725" s="27" t="n">
        <v>23628</v>
      </c>
      <c r="F725" s="16" t="n">
        <v>39204</v>
      </c>
      <c r="G725" s="15" t="s">
        <v>36</v>
      </c>
      <c r="H725" s="17" t="s">
        <v>25</v>
      </c>
      <c r="I725" s="18" t="s">
        <v>26</v>
      </c>
      <c r="J725" s="15" t="n">
        <v>2024</v>
      </c>
      <c r="K725" s="19" t="s">
        <v>27</v>
      </c>
      <c r="L725" s="15" t="s">
        <v>28</v>
      </c>
      <c r="M725" s="15" t="s">
        <v>33</v>
      </c>
      <c r="N725" s="17" t="s">
        <v>96</v>
      </c>
      <c r="O725" s="15"/>
      <c r="P725" s="15"/>
      <c r="Q725" s="21"/>
      <c r="R725" s="21"/>
      <c r="S725" s="21"/>
      <c r="T725" s="28"/>
      <c r="U725" s="24"/>
    </row>
    <row r="726" s="25" customFormat="true" ht="41.4" hidden="false" customHeight="false" outlineLevel="0" collapsed="false">
      <c r="A726" s="36" t="s">
        <v>1736</v>
      </c>
      <c r="B726" s="26" t="s">
        <v>1737</v>
      </c>
      <c r="C726" s="14" t="s">
        <v>1738</v>
      </c>
      <c r="D726" s="15" t="n">
        <v>4</v>
      </c>
      <c r="E726" s="27" t="n">
        <f aca="false">F726/2</f>
        <v>400</v>
      </c>
      <c r="F726" s="16" t="n">
        <v>800</v>
      </c>
      <c r="G726" s="15" t="s">
        <v>36</v>
      </c>
      <c r="H726" s="17" t="s">
        <v>25</v>
      </c>
      <c r="I726" s="18" t="s">
        <v>26</v>
      </c>
      <c r="J726" s="15" t="n">
        <v>2020</v>
      </c>
      <c r="K726" s="19" t="s">
        <v>27</v>
      </c>
      <c r="L726" s="15" t="s">
        <v>28</v>
      </c>
      <c r="M726" s="15" t="s">
        <v>33</v>
      </c>
      <c r="N726" s="20" t="s">
        <v>45</v>
      </c>
      <c r="O726" s="15"/>
      <c r="P726" s="15"/>
      <c r="Q726" s="21"/>
      <c r="R726" s="21"/>
      <c r="S726" s="21"/>
      <c r="T726" s="28"/>
      <c r="U726" s="34"/>
    </row>
    <row r="727" s="25" customFormat="true" ht="41.4" hidden="false" customHeight="false" outlineLevel="0" collapsed="false">
      <c r="A727" s="36" t="s">
        <v>1739</v>
      </c>
      <c r="B727" s="26" t="s">
        <v>1740</v>
      </c>
      <c r="C727" s="14" t="s">
        <v>1741</v>
      </c>
      <c r="D727" s="15" t="n">
        <v>12</v>
      </c>
      <c r="E727" s="27" t="n">
        <f aca="false">F727/2</f>
        <v>6480</v>
      </c>
      <c r="F727" s="16" t="n">
        <f aca="false">10800*1.2</f>
        <v>12960</v>
      </c>
      <c r="G727" s="15" t="s">
        <v>36</v>
      </c>
      <c r="H727" s="17" t="s">
        <v>25</v>
      </c>
      <c r="I727" s="18" t="s">
        <v>26</v>
      </c>
      <c r="J727" s="15" t="n">
        <v>2021</v>
      </c>
      <c r="K727" s="19" t="s">
        <v>27</v>
      </c>
      <c r="L727" s="15" t="s">
        <v>28</v>
      </c>
      <c r="M727" s="15" t="s">
        <v>33</v>
      </c>
      <c r="N727" s="17" t="s">
        <v>45</v>
      </c>
      <c r="O727" s="15"/>
      <c r="P727" s="15"/>
      <c r="Q727" s="21"/>
      <c r="R727" s="21"/>
      <c r="S727" s="21"/>
      <c r="T727" s="28"/>
      <c r="U727" s="24"/>
    </row>
    <row r="728" s="25" customFormat="true" ht="45.6" hidden="false" customHeight="false" outlineLevel="0" collapsed="false">
      <c r="A728" s="36" t="s">
        <v>1742</v>
      </c>
      <c r="B728" s="26" t="s">
        <v>1743</v>
      </c>
      <c r="C728" s="70"/>
      <c r="D728" s="15" t="n">
        <v>12</v>
      </c>
      <c r="E728" s="27" t="n">
        <f aca="false">F728/2</f>
        <v>1500</v>
      </c>
      <c r="F728" s="16" t="n">
        <v>3000</v>
      </c>
      <c r="G728" s="15" t="s">
        <v>354</v>
      </c>
      <c r="H728" s="17" t="s">
        <v>25</v>
      </c>
      <c r="I728" s="18" t="s">
        <v>26</v>
      </c>
      <c r="J728" s="15" t="n">
        <v>2003</v>
      </c>
      <c r="K728" s="19" t="s">
        <v>27</v>
      </c>
      <c r="L728" s="15" t="s">
        <v>28</v>
      </c>
      <c r="M728" s="15" t="s">
        <v>33</v>
      </c>
      <c r="N728" s="17"/>
      <c r="O728" s="15"/>
      <c r="P728" s="15"/>
      <c r="Q728" s="21" t="s">
        <v>47</v>
      </c>
      <c r="R728" s="21"/>
      <c r="S728" s="21"/>
      <c r="T728" s="28"/>
      <c r="U728" s="24" t="s">
        <v>1744</v>
      </c>
    </row>
    <row r="729" s="25" customFormat="true" ht="41.4" hidden="false" customHeight="false" outlineLevel="0" collapsed="false">
      <c r="A729" s="36" t="s">
        <v>1745</v>
      </c>
      <c r="B729" s="26" t="s">
        <v>1746</v>
      </c>
      <c r="C729" s="70" t="s">
        <v>246</v>
      </c>
      <c r="D729" s="15" t="n">
        <v>6</v>
      </c>
      <c r="E729" s="27" t="n">
        <f aca="false">F729/2</f>
        <v>11667</v>
      </c>
      <c r="F729" s="38" t="n">
        <v>23334</v>
      </c>
      <c r="G729" s="15" t="s">
        <v>36</v>
      </c>
      <c r="H729" s="17" t="s">
        <v>25</v>
      </c>
      <c r="I729" s="18" t="s">
        <v>26</v>
      </c>
      <c r="J729" s="15" t="n">
        <v>2017</v>
      </c>
      <c r="K729" s="19" t="s">
        <v>27</v>
      </c>
      <c r="L729" s="15" t="s">
        <v>28</v>
      </c>
      <c r="M729" s="15" t="s">
        <v>33</v>
      </c>
      <c r="N729" s="17"/>
      <c r="O729" s="15"/>
      <c r="P729" s="15"/>
      <c r="Q729" s="21" t="s">
        <v>247</v>
      </c>
      <c r="R729" s="21"/>
      <c r="S729" s="21"/>
      <c r="T729" s="31" t="n">
        <v>45882</v>
      </c>
      <c r="U729" s="24" t="s">
        <v>248</v>
      </c>
    </row>
    <row r="730" s="25" customFormat="true" ht="41.4" hidden="false" customHeight="false" outlineLevel="0" collapsed="false">
      <c r="A730" s="36" t="s">
        <v>1747</v>
      </c>
      <c r="B730" s="26"/>
      <c r="C730" s="70" t="s">
        <v>1748</v>
      </c>
      <c r="D730" s="15" t="n">
        <v>4</v>
      </c>
      <c r="E730" s="27" t="n">
        <f aca="false">F730/2</f>
        <v>50</v>
      </c>
      <c r="F730" s="16" t="n">
        <v>100</v>
      </c>
      <c r="G730" s="15" t="s">
        <v>36</v>
      </c>
      <c r="H730" s="17" t="s">
        <v>25</v>
      </c>
      <c r="I730" s="18" t="s">
        <v>26</v>
      </c>
      <c r="J730" s="15" t="n">
        <v>2014</v>
      </c>
      <c r="K730" s="19" t="s">
        <v>27</v>
      </c>
      <c r="L730" s="15" t="s">
        <v>28</v>
      </c>
      <c r="M730" s="17" t="s">
        <v>1749</v>
      </c>
      <c r="N730" s="17" t="s">
        <v>83</v>
      </c>
      <c r="O730" s="15"/>
      <c r="P730" s="15"/>
      <c r="Q730" s="21" t="s">
        <v>302</v>
      </c>
      <c r="R730" s="21"/>
      <c r="S730" s="21"/>
      <c r="T730" s="28"/>
      <c r="U730" s="24"/>
    </row>
    <row r="731" s="25" customFormat="true" ht="45.6" hidden="false" customHeight="false" outlineLevel="0" collapsed="false">
      <c r="A731" s="36" t="s">
        <v>1750</v>
      </c>
      <c r="B731" s="26" t="s">
        <v>1751</v>
      </c>
      <c r="C731" s="14" t="s">
        <v>1051</v>
      </c>
      <c r="D731" s="15" t="n">
        <v>4</v>
      </c>
      <c r="E731" s="27" t="n">
        <f aca="false">F731/2</f>
        <v>2880</v>
      </c>
      <c r="F731" s="16" t="n">
        <f aca="false">4800*1.2</f>
        <v>5760</v>
      </c>
      <c r="G731" s="15" t="s">
        <v>24</v>
      </c>
      <c r="H731" s="17" t="s">
        <v>25</v>
      </c>
      <c r="I731" s="18" t="s">
        <v>26</v>
      </c>
      <c r="J731" s="15" t="n">
        <v>2012</v>
      </c>
      <c r="K731" s="19" t="s">
        <v>27</v>
      </c>
      <c r="L731" s="15" t="s">
        <v>28</v>
      </c>
      <c r="M731" s="15" t="s">
        <v>33</v>
      </c>
      <c r="N731" s="17" t="s">
        <v>45</v>
      </c>
      <c r="O731" s="15"/>
      <c r="P731" s="15"/>
      <c r="Q731" s="21" t="s">
        <v>862</v>
      </c>
      <c r="R731" s="21"/>
      <c r="S731" s="21"/>
      <c r="T731" s="31" t="n">
        <v>45856</v>
      </c>
      <c r="U731" s="24" t="s">
        <v>1752</v>
      </c>
    </row>
    <row r="732" s="25" customFormat="true" ht="45.6" hidden="false" customHeight="false" outlineLevel="0" collapsed="false">
      <c r="A732" s="36" t="s">
        <v>1753</v>
      </c>
      <c r="B732" s="26" t="s">
        <v>1754</v>
      </c>
      <c r="C732" s="14" t="s">
        <v>1027</v>
      </c>
      <c r="D732" s="15" t="s">
        <v>1309</v>
      </c>
      <c r="E732" s="27" t="n">
        <f aca="false">F732/2</f>
        <v>750</v>
      </c>
      <c r="F732" s="52" t="n">
        <v>1500</v>
      </c>
      <c r="G732" s="15" t="s">
        <v>24</v>
      </c>
      <c r="H732" s="17" t="s">
        <v>25</v>
      </c>
      <c r="I732" s="18" t="s">
        <v>26</v>
      </c>
      <c r="J732" s="15" t="n">
        <v>2000</v>
      </c>
      <c r="K732" s="19" t="s">
        <v>27</v>
      </c>
      <c r="L732" s="15" t="s">
        <v>28</v>
      </c>
      <c r="M732" s="15" t="s">
        <v>33</v>
      </c>
      <c r="N732" s="17" t="s">
        <v>719</v>
      </c>
      <c r="O732" s="15"/>
      <c r="P732" s="15"/>
      <c r="Q732" s="21" t="s">
        <v>280</v>
      </c>
      <c r="R732" s="21"/>
      <c r="S732" s="21"/>
      <c r="T732" s="28"/>
      <c r="U732" s="24" t="s">
        <v>1755</v>
      </c>
    </row>
    <row r="733" s="25" customFormat="true" ht="41.4" hidden="false" customHeight="false" outlineLevel="0" collapsed="false">
      <c r="A733" s="36" t="s">
        <v>1756</v>
      </c>
      <c r="B733" s="26" t="s">
        <v>1757</v>
      </c>
      <c r="C733" s="14"/>
      <c r="D733" s="15" t="n">
        <v>2</v>
      </c>
      <c r="E733" s="27" t="n">
        <f aca="false">F733/2</f>
        <v>150</v>
      </c>
      <c r="F733" s="16" t="n">
        <v>300</v>
      </c>
      <c r="G733" s="15" t="s">
        <v>36</v>
      </c>
      <c r="H733" s="17" t="s">
        <v>25</v>
      </c>
      <c r="I733" s="18" t="s">
        <v>26</v>
      </c>
      <c r="J733" s="15" t="n">
        <v>2020</v>
      </c>
      <c r="K733" s="19" t="s">
        <v>27</v>
      </c>
      <c r="L733" s="15" t="s">
        <v>28</v>
      </c>
      <c r="M733" s="15" t="s">
        <v>33</v>
      </c>
      <c r="N733" s="20" t="s">
        <v>167</v>
      </c>
      <c r="O733" s="15"/>
      <c r="P733" s="15"/>
      <c r="Q733" s="21"/>
      <c r="R733" s="21"/>
      <c r="S733" s="21"/>
      <c r="T733" s="28"/>
      <c r="U733" s="34"/>
    </row>
    <row r="734" s="25" customFormat="true" ht="41.4" hidden="false" customHeight="false" outlineLevel="0" collapsed="false">
      <c r="A734" s="36" t="s">
        <v>1758</v>
      </c>
      <c r="B734" s="26" t="s">
        <v>369</v>
      </c>
      <c r="C734" s="14" t="s">
        <v>197</v>
      </c>
      <c r="D734" s="15" t="n">
        <v>12</v>
      </c>
      <c r="E734" s="27" t="n">
        <f aca="false">F734/2</f>
        <v>4125</v>
      </c>
      <c r="F734" s="16" t="n">
        <v>8250</v>
      </c>
      <c r="G734" s="15" t="s">
        <v>36</v>
      </c>
      <c r="H734" s="17" t="s">
        <v>25</v>
      </c>
      <c r="I734" s="18" t="s">
        <v>26</v>
      </c>
      <c r="J734" s="15" t="n">
        <v>2020</v>
      </c>
      <c r="K734" s="19" t="s">
        <v>27</v>
      </c>
      <c r="L734" s="15" t="s">
        <v>28</v>
      </c>
      <c r="M734" s="15" t="s">
        <v>33</v>
      </c>
      <c r="N734" s="20" t="s">
        <v>175</v>
      </c>
      <c r="O734" s="15"/>
      <c r="P734" s="15"/>
      <c r="Q734" s="21"/>
      <c r="R734" s="21"/>
      <c r="S734" s="21"/>
      <c r="T734" s="28"/>
      <c r="U734" s="34"/>
    </row>
    <row r="735" s="25" customFormat="true" ht="41.4" hidden="false" customHeight="false" outlineLevel="0" collapsed="false">
      <c r="A735" s="36" t="s">
        <v>1759</v>
      </c>
      <c r="B735" s="26" t="s">
        <v>1760</v>
      </c>
      <c r="C735" s="14" t="s">
        <v>197</v>
      </c>
      <c r="D735" s="15" t="n">
        <v>4</v>
      </c>
      <c r="E735" s="27" t="n">
        <f aca="false">F735/2</f>
        <v>625</v>
      </c>
      <c r="F735" s="16" t="n">
        <v>1250</v>
      </c>
      <c r="G735" s="15" t="s">
        <v>36</v>
      </c>
      <c r="H735" s="17" t="s">
        <v>25</v>
      </c>
      <c r="I735" s="18" t="s">
        <v>26</v>
      </c>
      <c r="J735" s="15" t="n">
        <v>2020</v>
      </c>
      <c r="K735" s="19" t="s">
        <v>27</v>
      </c>
      <c r="L735" s="15" t="s">
        <v>28</v>
      </c>
      <c r="M735" s="15" t="s">
        <v>33</v>
      </c>
      <c r="N735" s="20" t="s">
        <v>175</v>
      </c>
      <c r="O735" s="15"/>
      <c r="P735" s="15"/>
      <c r="Q735" s="21"/>
      <c r="R735" s="21"/>
      <c r="S735" s="21"/>
      <c r="T735" s="28"/>
      <c r="U735" s="34"/>
    </row>
    <row r="736" s="25" customFormat="true" ht="41.4" hidden="false" customHeight="false" outlineLevel="0" collapsed="false">
      <c r="A736" s="36" t="s">
        <v>1761</v>
      </c>
      <c r="B736" s="26" t="s">
        <v>1762</v>
      </c>
      <c r="C736" s="14"/>
      <c r="D736" s="15" t="s">
        <v>1309</v>
      </c>
      <c r="E736" s="27" t="n">
        <f aca="false">F736/2</f>
        <v>750</v>
      </c>
      <c r="F736" s="52" t="n">
        <v>1500</v>
      </c>
      <c r="G736" s="15" t="s">
        <v>354</v>
      </c>
      <c r="H736" s="17" t="s">
        <v>25</v>
      </c>
      <c r="I736" s="18" t="s">
        <v>26</v>
      </c>
      <c r="J736" s="15" t="n">
        <v>2001</v>
      </c>
      <c r="K736" s="19" t="s">
        <v>27</v>
      </c>
      <c r="L736" s="15" t="s">
        <v>28</v>
      </c>
      <c r="M736" s="15" t="s">
        <v>33</v>
      </c>
      <c r="N736" s="20" t="s">
        <v>175</v>
      </c>
      <c r="O736" s="15"/>
      <c r="P736" s="15"/>
      <c r="Q736" s="21" t="s">
        <v>280</v>
      </c>
      <c r="R736" s="21"/>
      <c r="S736" s="21"/>
      <c r="T736" s="28"/>
      <c r="U736" s="24" t="s">
        <v>1763</v>
      </c>
    </row>
    <row r="737" s="25" customFormat="true" ht="41.4" hidden="false" customHeight="false" outlineLevel="0" collapsed="false">
      <c r="A737" s="36" t="s">
        <v>1764</v>
      </c>
      <c r="B737" s="26" t="s">
        <v>1765</v>
      </c>
      <c r="C737" s="14" t="s">
        <v>95</v>
      </c>
      <c r="D737" s="15" t="n">
        <v>4</v>
      </c>
      <c r="E737" s="27" t="n">
        <f aca="false">F737/2</f>
        <v>6240</v>
      </c>
      <c r="F737" s="16" t="n">
        <f aca="false">4*2600*1.2</f>
        <v>12480</v>
      </c>
      <c r="G737" s="15" t="s">
        <v>36</v>
      </c>
      <c r="H737" s="17" t="s">
        <v>25</v>
      </c>
      <c r="I737" s="18" t="s">
        <v>26</v>
      </c>
      <c r="J737" s="15" t="n">
        <v>2022</v>
      </c>
      <c r="K737" s="19" t="s">
        <v>27</v>
      </c>
      <c r="L737" s="15" t="s">
        <v>28</v>
      </c>
      <c r="M737" s="15" t="s">
        <v>33</v>
      </c>
      <c r="N737" s="17" t="s">
        <v>175</v>
      </c>
      <c r="O737" s="15"/>
      <c r="P737" s="15"/>
      <c r="Q737" s="21"/>
      <c r="R737" s="21"/>
      <c r="S737" s="21"/>
      <c r="T737" s="31" t="n">
        <v>45880</v>
      </c>
      <c r="U737" s="24"/>
    </row>
    <row r="738" s="25" customFormat="true" ht="41.4" hidden="false" customHeight="false" outlineLevel="0" collapsed="false">
      <c r="A738" s="36" t="s">
        <v>1766</v>
      </c>
      <c r="B738" s="26" t="s">
        <v>1767</v>
      </c>
      <c r="C738" s="14"/>
      <c r="D738" s="15" t="n">
        <v>4</v>
      </c>
      <c r="E738" s="27" t="n">
        <f aca="false">F738/2</f>
        <v>300</v>
      </c>
      <c r="F738" s="16" t="n">
        <v>600</v>
      </c>
      <c r="G738" s="15" t="s">
        <v>36</v>
      </c>
      <c r="H738" s="17" t="s">
        <v>25</v>
      </c>
      <c r="I738" s="18" t="s">
        <v>26</v>
      </c>
      <c r="J738" s="15" t="n">
        <v>2020</v>
      </c>
      <c r="K738" s="19" t="s">
        <v>27</v>
      </c>
      <c r="L738" s="15" t="s">
        <v>28</v>
      </c>
      <c r="M738" s="15" t="s">
        <v>33</v>
      </c>
      <c r="N738" s="20" t="s">
        <v>175</v>
      </c>
      <c r="O738" s="15"/>
      <c r="P738" s="15"/>
      <c r="Q738" s="21"/>
      <c r="R738" s="21"/>
      <c r="S738" s="21"/>
      <c r="T738" s="28"/>
      <c r="U738" s="34"/>
    </row>
    <row r="739" s="25" customFormat="true" ht="41.4" hidden="false" customHeight="false" outlineLevel="0" collapsed="false">
      <c r="A739" s="36" t="s">
        <v>1768</v>
      </c>
      <c r="B739" s="26"/>
      <c r="C739" s="14" t="s">
        <v>1027</v>
      </c>
      <c r="D739" s="15" t="n">
        <v>2</v>
      </c>
      <c r="E739" s="27" t="n">
        <f aca="false">F739/2</f>
        <v>50</v>
      </c>
      <c r="F739" s="16" t="n">
        <v>100</v>
      </c>
      <c r="G739" s="15" t="s">
        <v>36</v>
      </c>
      <c r="H739" s="17" t="s">
        <v>25</v>
      </c>
      <c r="I739" s="18" t="s">
        <v>26</v>
      </c>
      <c r="J739" s="15" t="n">
        <v>2025</v>
      </c>
      <c r="K739" s="19" t="s">
        <v>27</v>
      </c>
      <c r="L739" s="15" t="s">
        <v>28</v>
      </c>
      <c r="M739" s="15" t="s">
        <v>33</v>
      </c>
      <c r="N739" s="17" t="s">
        <v>719</v>
      </c>
      <c r="O739" s="15"/>
      <c r="P739" s="15"/>
      <c r="Q739" s="21"/>
      <c r="R739" s="21"/>
      <c r="S739" s="21"/>
      <c r="T739" s="28"/>
      <c r="U739" s="24"/>
    </row>
    <row r="740" s="25" customFormat="true" ht="41.4" hidden="false" customHeight="false" outlineLevel="0" collapsed="false">
      <c r="A740" s="36" t="s">
        <v>1769</v>
      </c>
      <c r="B740" s="26"/>
      <c r="C740" s="70" t="s">
        <v>1027</v>
      </c>
      <c r="D740" s="15" t="n">
        <v>2</v>
      </c>
      <c r="E740" s="27" t="n">
        <f aca="false">F740/2</f>
        <v>50</v>
      </c>
      <c r="F740" s="16" t="n">
        <v>100</v>
      </c>
      <c r="G740" s="15" t="s">
        <v>36</v>
      </c>
      <c r="H740" s="17" t="s">
        <v>25</v>
      </c>
      <c r="I740" s="18" t="s">
        <v>26</v>
      </c>
      <c r="J740" s="15" t="n">
        <v>2025</v>
      </c>
      <c r="K740" s="19" t="s">
        <v>27</v>
      </c>
      <c r="L740" s="15" t="s">
        <v>28</v>
      </c>
      <c r="M740" s="15" t="s">
        <v>33</v>
      </c>
      <c r="N740" s="17" t="s">
        <v>719</v>
      </c>
      <c r="O740" s="15"/>
      <c r="P740" s="15"/>
      <c r="Q740" s="21"/>
      <c r="R740" s="21"/>
      <c r="S740" s="21"/>
      <c r="T740" s="28"/>
      <c r="U740" s="24"/>
    </row>
    <row r="741" s="25" customFormat="true" ht="41.4" hidden="false" customHeight="false" outlineLevel="0" collapsed="false">
      <c r="A741" s="36" t="s">
        <v>1770</v>
      </c>
      <c r="B741" s="26"/>
      <c r="C741" s="70" t="s">
        <v>1771</v>
      </c>
      <c r="D741" s="15" t="n">
        <v>4</v>
      </c>
      <c r="E741" s="27" t="n">
        <f aca="false">F741/2</f>
        <v>2996</v>
      </c>
      <c r="F741" s="16" t="n">
        <f aca="false">5600*1.07</f>
        <v>5992</v>
      </c>
      <c r="G741" s="15" t="s">
        <v>36</v>
      </c>
      <c r="H741" s="17" t="s">
        <v>25</v>
      </c>
      <c r="I741" s="18" t="s">
        <v>26</v>
      </c>
      <c r="J741" s="15" t="n">
        <v>2025</v>
      </c>
      <c r="K741" s="19" t="s">
        <v>27</v>
      </c>
      <c r="L741" s="15" t="s">
        <v>28</v>
      </c>
      <c r="M741" s="15" t="s">
        <v>33</v>
      </c>
      <c r="N741" s="17"/>
      <c r="O741" s="15"/>
      <c r="P741" s="15"/>
      <c r="Q741" s="21"/>
      <c r="R741" s="21"/>
      <c r="S741" s="21"/>
      <c r="T741" s="28"/>
      <c r="U741" s="24"/>
    </row>
    <row r="742" s="25" customFormat="true" ht="41.4" hidden="false" customHeight="false" outlineLevel="0" collapsed="false">
      <c r="A742" s="63" t="s">
        <v>1772</v>
      </c>
      <c r="B742" s="26"/>
      <c r="C742" s="70" t="s">
        <v>264</v>
      </c>
      <c r="D742" s="30" t="n">
        <v>12</v>
      </c>
      <c r="E742" s="16" t="n">
        <f aca="false">F742/2</f>
        <v>61703.64</v>
      </c>
      <c r="F742" s="16" t="n">
        <f aca="false">132696*0.93</f>
        <v>123407.28</v>
      </c>
      <c r="G742" s="15" t="s">
        <v>36</v>
      </c>
      <c r="H742" s="17" t="s">
        <v>25</v>
      </c>
      <c r="I742" s="18" t="s">
        <v>26</v>
      </c>
      <c r="J742" s="15" t="n">
        <v>2024</v>
      </c>
      <c r="K742" s="19" t="s">
        <v>27</v>
      </c>
      <c r="L742" s="15" t="s">
        <v>28</v>
      </c>
      <c r="M742" s="15" t="s">
        <v>33</v>
      </c>
      <c r="N742" s="17" t="s">
        <v>123</v>
      </c>
      <c r="O742" s="60"/>
      <c r="P742" s="60"/>
      <c r="Q742" s="21"/>
      <c r="R742" s="21"/>
      <c r="S742" s="40"/>
      <c r="T742" s="31" t="n">
        <v>45880</v>
      </c>
      <c r="U742" s="41"/>
    </row>
    <row r="743" s="25" customFormat="true" ht="41.4" hidden="false" customHeight="false" outlineLevel="0" collapsed="false">
      <c r="A743" s="63" t="s">
        <v>1773</v>
      </c>
      <c r="B743" s="26"/>
      <c r="C743" s="70" t="s">
        <v>264</v>
      </c>
      <c r="D743" s="30" t="n">
        <v>6</v>
      </c>
      <c r="E743" s="16" t="n">
        <f aca="false">F743/2</f>
        <v>16221.06</v>
      </c>
      <c r="F743" s="16" t="n">
        <f aca="false">34884*0.93</f>
        <v>32442.12</v>
      </c>
      <c r="G743" s="15" t="s">
        <v>36</v>
      </c>
      <c r="H743" s="17" t="s">
        <v>25</v>
      </c>
      <c r="I743" s="18" t="s">
        <v>26</v>
      </c>
      <c r="J743" s="15" t="n">
        <v>2024</v>
      </c>
      <c r="K743" s="19" t="s">
        <v>27</v>
      </c>
      <c r="L743" s="15" t="s">
        <v>28</v>
      </c>
      <c r="M743" s="15" t="s">
        <v>33</v>
      </c>
      <c r="N743" s="17" t="s">
        <v>123</v>
      </c>
      <c r="O743" s="60"/>
      <c r="P743" s="60"/>
      <c r="Q743" s="21"/>
      <c r="R743" s="21"/>
      <c r="S743" s="40"/>
      <c r="T743" s="31" t="n">
        <v>45880</v>
      </c>
      <c r="U743" s="41"/>
    </row>
    <row r="744" s="25" customFormat="true" ht="41.4" hidden="false" customHeight="false" outlineLevel="0" collapsed="false">
      <c r="A744" s="36" t="s">
        <v>1774</v>
      </c>
      <c r="B744" s="26" t="s">
        <v>1775</v>
      </c>
      <c r="C744" s="70" t="s">
        <v>1776</v>
      </c>
      <c r="D744" s="15" t="n">
        <v>12</v>
      </c>
      <c r="E744" s="27" t="n">
        <f aca="false">F744/2</f>
        <v>31860</v>
      </c>
      <c r="F744" s="16" t="n">
        <f aca="false">CEILING(53100*1.2,1)</f>
        <v>63720</v>
      </c>
      <c r="G744" s="15" t="s">
        <v>36</v>
      </c>
      <c r="H744" s="17" t="s">
        <v>25</v>
      </c>
      <c r="I744" s="18" t="s">
        <v>26</v>
      </c>
      <c r="J744" s="15" t="n">
        <v>2020</v>
      </c>
      <c r="K744" s="19" t="s">
        <v>27</v>
      </c>
      <c r="L744" s="15" t="s">
        <v>28</v>
      </c>
      <c r="M744" s="15" t="s">
        <v>33</v>
      </c>
      <c r="N744" s="17" t="s">
        <v>123</v>
      </c>
      <c r="O744" s="15"/>
      <c r="P744" s="15"/>
      <c r="Q744" s="21"/>
      <c r="R744" s="21"/>
      <c r="S744" s="21"/>
      <c r="T744" s="31" t="n">
        <v>45919</v>
      </c>
      <c r="U744" s="34"/>
    </row>
    <row r="745" s="25" customFormat="true" ht="41.4" hidden="false" customHeight="false" outlineLevel="0" collapsed="false">
      <c r="A745" s="36" t="s">
        <v>1777</v>
      </c>
      <c r="B745" s="26"/>
      <c r="C745" s="14" t="s">
        <v>643</v>
      </c>
      <c r="D745" s="15" t="n">
        <v>4</v>
      </c>
      <c r="E745" s="27" t="n">
        <f aca="false">F745/2</f>
        <v>478</v>
      </c>
      <c r="F745" s="16" t="n">
        <v>956</v>
      </c>
      <c r="G745" s="15" t="s">
        <v>36</v>
      </c>
      <c r="H745" s="17" t="s">
        <v>25</v>
      </c>
      <c r="I745" s="18" t="s">
        <v>26</v>
      </c>
      <c r="J745" s="15" t="n">
        <v>2023</v>
      </c>
      <c r="K745" s="19" t="s">
        <v>27</v>
      </c>
      <c r="L745" s="15" t="s">
        <v>28</v>
      </c>
      <c r="M745" s="15" t="s">
        <v>33</v>
      </c>
      <c r="N745" s="17" t="s">
        <v>123</v>
      </c>
      <c r="O745" s="15"/>
      <c r="P745" s="15"/>
      <c r="Q745" s="21"/>
      <c r="R745" s="21"/>
      <c r="S745" s="21"/>
      <c r="T745" s="28"/>
      <c r="U745" s="24"/>
    </row>
    <row r="746" s="25" customFormat="true" ht="41.4" hidden="false" customHeight="false" outlineLevel="0" collapsed="false">
      <c r="A746" s="36" t="s">
        <v>1778</v>
      </c>
      <c r="B746" s="26" t="s">
        <v>1779</v>
      </c>
      <c r="C746" s="14"/>
      <c r="D746" s="15" t="n">
        <v>6</v>
      </c>
      <c r="E746" s="27" t="n">
        <f aca="false">F746/2</f>
        <v>50</v>
      </c>
      <c r="F746" s="16" t="n">
        <v>100</v>
      </c>
      <c r="G746" s="15" t="s">
        <v>36</v>
      </c>
      <c r="H746" s="17" t="s">
        <v>25</v>
      </c>
      <c r="I746" s="18" t="s">
        <v>26</v>
      </c>
      <c r="J746" s="15" t="n">
        <v>2019</v>
      </c>
      <c r="K746" s="19" t="s">
        <v>27</v>
      </c>
      <c r="L746" s="15" t="s">
        <v>28</v>
      </c>
      <c r="M746" s="15" t="s">
        <v>33</v>
      </c>
      <c r="N746" s="20" t="s">
        <v>83</v>
      </c>
      <c r="O746" s="15"/>
      <c r="P746" s="15"/>
      <c r="Q746" s="21"/>
      <c r="R746" s="21"/>
      <c r="S746" s="21"/>
      <c r="T746" s="28"/>
      <c r="U746" s="34"/>
    </row>
    <row r="747" s="25" customFormat="true" ht="41.4" hidden="false" customHeight="false" outlineLevel="0" collapsed="false">
      <c r="A747" s="36" t="s">
        <v>1780</v>
      </c>
      <c r="B747" s="26" t="s">
        <v>1781</v>
      </c>
      <c r="C747" s="14" t="s">
        <v>148</v>
      </c>
      <c r="D747" s="15" t="n">
        <v>6</v>
      </c>
      <c r="E747" s="27" t="n">
        <f aca="false">F747/2</f>
        <v>50</v>
      </c>
      <c r="F747" s="35" t="n">
        <v>100</v>
      </c>
      <c r="G747" s="15" t="s">
        <v>36</v>
      </c>
      <c r="H747" s="17" t="s">
        <v>25</v>
      </c>
      <c r="I747" s="18" t="s">
        <v>26</v>
      </c>
      <c r="J747" s="15" t="n">
        <v>2024</v>
      </c>
      <c r="K747" s="19" t="s">
        <v>27</v>
      </c>
      <c r="L747" s="15" t="s">
        <v>28</v>
      </c>
      <c r="M747" s="15" t="s">
        <v>33</v>
      </c>
      <c r="N747" s="17" t="s">
        <v>83</v>
      </c>
      <c r="O747" s="15"/>
      <c r="P747" s="15"/>
      <c r="Q747" s="21"/>
      <c r="R747" s="21"/>
      <c r="S747" s="21"/>
      <c r="T747" s="31" t="n">
        <v>45882</v>
      </c>
      <c r="U747" s="34"/>
    </row>
    <row r="748" s="25" customFormat="true" ht="41.4" hidden="false" customHeight="false" outlineLevel="0" collapsed="false">
      <c r="A748" s="36" t="s">
        <v>1782</v>
      </c>
      <c r="B748" s="26" t="s">
        <v>1783</v>
      </c>
      <c r="C748" s="14" t="s">
        <v>1784</v>
      </c>
      <c r="D748" s="15" t="n">
        <v>4</v>
      </c>
      <c r="E748" s="27" t="n">
        <f aca="false">F748/2</f>
        <v>2400</v>
      </c>
      <c r="F748" s="16" t="n">
        <f aca="false">4000*1.2</f>
        <v>4800</v>
      </c>
      <c r="G748" s="15" t="s">
        <v>36</v>
      </c>
      <c r="H748" s="17" t="s">
        <v>25</v>
      </c>
      <c r="I748" s="18" t="s">
        <v>26</v>
      </c>
      <c r="J748" s="15" t="n">
        <v>2017</v>
      </c>
      <c r="K748" s="19" t="s">
        <v>27</v>
      </c>
      <c r="L748" s="15" t="s">
        <v>28</v>
      </c>
      <c r="M748" s="15" t="s">
        <v>33</v>
      </c>
      <c r="N748" s="17" t="s">
        <v>83</v>
      </c>
      <c r="O748" s="15"/>
      <c r="P748" s="15"/>
      <c r="Q748" s="21" t="s">
        <v>302</v>
      </c>
      <c r="R748" s="21"/>
      <c r="S748" s="21"/>
      <c r="T748" s="31" t="n">
        <v>45893</v>
      </c>
      <c r="U748" s="24"/>
    </row>
    <row r="749" s="25" customFormat="true" ht="41.4" hidden="false" customHeight="false" outlineLevel="0" collapsed="false">
      <c r="A749" s="36" t="s">
        <v>1785</v>
      </c>
      <c r="B749" s="26" t="s">
        <v>1786</v>
      </c>
      <c r="C749" s="70" t="s">
        <v>1324</v>
      </c>
      <c r="D749" s="15" t="n">
        <v>6</v>
      </c>
      <c r="E749" s="27" t="n">
        <f aca="false">F749/2</f>
        <v>540</v>
      </c>
      <c r="F749" s="16" t="n">
        <v>1080</v>
      </c>
      <c r="G749" s="15" t="s">
        <v>24</v>
      </c>
      <c r="H749" s="17" t="s">
        <v>25</v>
      </c>
      <c r="I749" s="18" t="s">
        <v>26</v>
      </c>
      <c r="J749" s="15" t="n">
        <v>2014</v>
      </c>
      <c r="K749" s="19" t="s">
        <v>1325</v>
      </c>
      <c r="L749" s="15" t="s">
        <v>28</v>
      </c>
      <c r="M749" s="15" t="s">
        <v>33</v>
      </c>
      <c r="N749" s="17" t="s">
        <v>83</v>
      </c>
      <c r="O749" s="15"/>
      <c r="P749" s="15"/>
      <c r="Q749" s="21" t="s">
        <v>302</v>
      </c>
      <c r="R749" s="21"/>
      <c r="S749" s="21"/>
      <c r="T749" s="28"/>
      <c r="U749" s="24"/>
    </row>
    <row r="750" s="25" customFormat="true" ht="41.4" hidden="false" customHeight="false" outlineLevel="0" collapsed="false">
      <c r="A750" s="36" t="s">
        <v>1787</v>
      </c>
      <c r="B750" s="26" t="s">
        <v>1788</v>
      </c>
      <c r="C750" s="70" t="s">
        <v>148</v>
      </c>
      <c r="D750" s="15" t="n">
        <v>6</v>
      </c>
      <c r="E750" s="27" t="n">
        <f aca="false">F750/2</f>
        <v>2329.5</v>
      </c>
      <c r="F750" s="35" t="n">
        <f aca="false">FLOOR(3883*1.2,1)</f>
        <v>4659</v>
      </c>
      <c r="G750" s="15" t="s">
        <v>36</v>
      </c>
      <c r="H750" s="17" t="s">
        <v>25</v>
      </c>
      <c r="I750" s="18" t="s">
        <v>26</v>
      </c>
      <c r="J750" s="15" t="n">
        <v>2020</v>
      </c>
      <c r="K750" s="19" t="s">
        <v>27</v>
      </c>
      <c r="L750" s="15" t="s">
        <v>28</v>
      </c>
      <c r="M750" s="15" t="s">
        <v>33</v>
      </c>
      <c r="N750" s="17" t="s">
        <v>83</v>
      </c>
      <c r="O750" s="15"/>
      <c r="P750" s="15"/>
      <c r="Q750" s="21"/>
      <c r="R750" s="21"/>
      <c r="S750" s="21"/>
      <c r="T750" s="31" t="n">
        <v>45882</v>
      </c>
      <c r="U750" s="34"/>
    </row>
    <row r="751" s="25" customFormat="true" ht="41.4" hidden="false" customHeight="false" outlineLevel="0" collapsed="false">
      <c r="A751" s="36" t="s">
        <v>1789</v>
      </c>
      <c r="B751" s="26" t="s">
        <v>1790</v>
      </c>
      <c r="C751" s="70" t="s">
        <v>307</v>
      </c>
      <c r="D751" s="15" t="n">
        <v>4</v>
      </c>
      <c r="E751" s="27" t="n">
        <f aca="false">F751/2</f>
        <v>50</v>
      </c>
      <c r="F751" s="16" t="n">
        <v>100</v>
      </c>
      <c r="G751" s="15" t="s">
        <v>36</v>
      </c>
      <c r="H751" s="17" t="s">
        <v>25</v>
      </c>
      <c r="I751" s="18" t="s">
        <v>26</v>
      </c>
      <c r="J751" s="15" t="n">
        <v>2019</v>
      </c>
      <c r="K751" s="19" t="s">
        <v>27</v>
      </c>
      <c r="L751" s="15" t="s">
        <v>28</v>
      </c>
      <c r="M751" s="15" t="s">
        <v>33</v>
      </c>
      <c r="N751" s="17" t="s">
        <v>83</v>
      </c>
      <c r="O751" s="15"/>
      <c r="P751" s="15"/>
      <c r="Q751" s="21"/>
      <c r="R751" s="21"/>
      <c r="S751" s="21"/>
      <c r="T751" s="28"/>
      <c r="U751" s="34"/>
    </row>
    <row r="752" s="25" customFormat="true" ht="41.4" hidden="false" customHeight="false" outlineLevel="0" collapsed="false">
      <c r="A752" s="36" t="s">
        <v>1791</v>
      </c>
      <c r="B752" s="26" t="n">
        <v>13796</v>
      </c>
      <c r="C752" s="70"/>
      <c r="D752" s="15" t="n">
        <v>52</v>
      </c>
      <c r="E752" s="27" t="n">
        <v>750</v>
      </c>
      <c r="F752" s="16" t="n">
        <v>1500</v>
      </c>
      <c r="G752" s="15" t="s">
        <v>354</v>
      </c>
      <c r="H752" s="17" t="s">
        <v>25</v>
      </c>
      <c r="I752" s="18" t="s">
        <v>26</v>
      </c>
      <c r="J752" s="15" t="n">
        <v>1999</v>
      </c>
      <c r="K752" s="19" t="s">
        <v>1792</v>
      </c>
      <c r="L752" s="15" t="s">
        <v>103</v>
      </c>
      <c r="M752" s="15" t="s">
        <v>33</v>
      </c>
      <c r="N752" s="17" t="s">
        <v>40</v>
      </c>
      <c r="O752" s="15"/>
      <c r="P752" s="15"/>
      <c r="Q752" s="21" t="s">
        <v>41</v>
      </c>
      <c r="R752" s="21"/>
      <c r="S752" s="21"/>
      <c r="T752" s="28"/>
      <c r="U752" s="24" t="s">
        <v>1793</v>
      </c>
    </row>
    <row r="753" s="25" customFormat="true" ht="41.4" hidden="false" customHeight="false" outlineLevel="0" collapsed="false">
      <c r="A753" s="36" t="s">
        <v>1794</v>
      </c>
      <c r="B753" s="26" t="s">
        <v>1795</v>
      </c>
      <c r="C753" s="14" t="s">
        <v>1796</v>
      </c>
      <c r="D753" s="15" t="n">
        <v>6</v>
      </c>
      <c r="E753" s="27" t="n">
        <f aca="false">F753/2</f>
        <v>14040</v>
      </c>
      <c r="F753" s="16" t="n">
        <f aca="false">23400*1.2</f>
        <v>28080</v>
      </c>
      <c r="G753" s="15" t="s">
        <v>36</v>
      </c>
      <c r="H753" s="17" t="s">
        <v>25</v>
      </c>
      <c r="I753" s="18" t="s">
        <v>26</v>
      </c>
      <c r="J753" s="15" t="n">
        <v>2017</v>
      </c>
      <c r="K753" s="19" t="s">
        <v>27</v>
      </c>
      <c r="L753" s="15" t="s">
        <v>28</v>
      </c>
      <c r="M753" s="15" t="s">
        <v>33</v>
      </c>
      <c r="N753" s="17" t="s">
        <v>87</v>
      </c>
      <c r="O753" s="15"/>
      <c r="P753" s="15"/>
      <c r="Q753" s="21" t="s">
        <v>78</v>
      </c>
      <c r="R753" s="21"/>
      <c r="S753" s="21"/>
      <c r="T753" s="28"/>
      <c r="U753" s="24"/>
    </row>
    <row r="754" s="25" customFormat="true" ht="41.4" hidden="false" customHeight="false" outlineLevel="0" collapsed="false">
      <c r="A754" s="36" t="s">
        <v>1797</v>
      </c>
      <c r="B754" s="26" t="s">
        <v>1798</v>
      </c>
      <c r="C754" s="14"/>
      <c r="D754" s="15" t="n">
        <v>6</v>
      </c>
      <c r="E754" s="27" t="n">
        <f aca="false">F754/2</f>
        <v>3150</v>
      </c>
      <c r="F754" s="16" t="n">
        <v>6300</v>
      </c>
      <c r="G754" s="15" t="s">
        <v>36</v>
      </c>
      <c r="H754" s="17" t="s">
        <v>25</v>
      </c>
      <c r="I754" s="18" t="s">
        <v>26</v>
      </c>
      <c r="J754" s="15" t="n">
        <v>2018</v>
      </c>
      <c r="K754" s="19" t="s">
        <v>27</v>
      </c>
      <c r="L754" s="15" t="s">
        <v>28</v>
      </c>
      <c r="M754" s="15" t="s">
        <v>33</v>
      </c>
      <c r="N754" s="17" t="s">
        <v>126</v>
      </c>
      <c r="O754" s="15"/>
      <c r="P754" s="15"/>
      <c r="Q754" s="21" t="s">
        <v>78</v>
      </c>
      <c r="R754" s="21"/>
      <c r="S754" s="21"/>
      <c r="T754" s="28"/>
      <c r="U754" s="24"/>
    </row>
    <row r="755" s="25" customFormat="true" ht="41.4" hidden="false" customHeight="false" outlineLevel="0" collapsed="false">
      <c r="A755" s="36" t="s">
        <v>1799</v>
      </c>
      <c r="B755" s="26"/>
      <c r="C755" s="70" t="s">
        <v>337</v>
      </c>
      <c r="D755" s="15" t="n">
        <v>4</v>
      </c>
      <c r="E755" s="16" t="n">
        <f aca="false">F755/2</f>
        <v>624</v>
      </c>
      <c r="F755" s="16" t="n">
        <f aca="false">1040*1.2</f>
        <v>1248</v>
      </c>
      <c r="G755" s="15" t="s">
        <v>36</v>
      </c>
      <c r="H755" s="17" t="s">
        <v>25</v>
      </c>
      <c r="I755" s="18" t="s">
        <v>26</v>
      </c>
      <c r="J755" s="15" t="n">
        <v>2024</v>
      </c>
      <c r="K755" s="19" t="s">
        <v>27</v>
      </c>
      <c r="L755" s="15" t="s">
        <v>28</v>
      </c>
      <c r="M755" s="15" t="s">
        <v>33</v>
      </c>
      <c r="N755" s="17" t="s">
        <v>83</v>
      </c>
      <c r="O755" s="15"/>
      <c r="P755" s="15"/>
      <c r="Q755" s="21"/>
      <c r="R755" s="21"/>
      <c r="S755" s="21"/>
      <c r="T755" s="28"/>
      <c r="U755" s="34"/>
    </row>
    <row r="756" s="25" customFormat="true" ht="41.4" hidden="false" customHeight="false" outlineLevel="0" collapsed="false">
      <c r="A756" s="36" t="s">
        <v>1800</v>
      </c>
      <c r="B756" s="26"/>
      <c r="C756" s="14" t="s">
        <v>1801</v>
      </c>
      <c r="D756" s="15" t="n">
        <v>6</v>
      </c>
      <c r="E756" s="27" t="n">
        <f aca="false">F756/2</f>
        <v>2340</v>
      </c>
      <c r="F756" s="16" t="n">
        <f aca="false">3900*1.2</f>
        <v>4680</v>
      </c>
      <c r="G756" s="15" t="s">
        <v>36</v>
      </c>
      <c r="H756" s="17" t="s">
        <v>25</v>
      </c>
      <c r="I756" s="18" t="s">
        <v>26</v>
      </c>
      <c r="J756" s="15" t="n">
        <v>2023</v>
      </c>
      <c r="K756" s="19" t="s">
        <v>27</v>
      </c>
      <c r="L756" s="15" t="s">
        <v>28</v>
      </c>
      <c r="M756" s="15" t="s">
        <v>33</v>
      </c>
      <c r="N756" s="17" t="s">
        <v>45</v>
      </c>
      <c r="O756" s="15" t="s">
        <v>46</v>
      </c>
      <c r="P756" s="15"/>
      <c r="Q756" s="21"/>
      <c r="R756" s="21"/>
      <c r="S756" s="21"/>
      <c r="T756" s="28"/>
      <c r="U756" s="24"/>
    </row>
    <row r="757" s="25" customFormat="true" ht="41.4" hidden="false" customHeight="false" outlineLevel="0" collapsed="false">
      <c r="A757" s="36" t="s">
        <v>1802</v>
      </c>
      <c r="B757" s="26" t="s">
        <v>1803</v>
      </c>
      <c r="C757" s="14" t="s">
        <v>246</v>
      </c>
      <c r="D757" s="15" t="n">
        <v>6</v>
      </c>
      <c r="E757" s="27" t="n">
        <f aca="false">F757/2</f>
        <v>12820</v>
      </c>
      <c r="F757" s="38" t="n">
        <v>25640</v>
      </c>
      <c r="G757" s="15" t="s">
        <v>36</v>
      </c>
      <c r="H757" s="17" t="s">
        <v>25</v>
      </c>
      <c r="I757" s="18" t="s">
        <v>26</v>
      </c>
      <c r="J757" s="15" t="n">
        <v>2017</v>
      </c>
      <c r="K757" s="19" t="s">
        <v>27</v>
      </c>
      <c r="L757" s="15" t="s">
        <v>28</v>
      </c>
      <c r="M757" s="15" t="s">
        <v>33</v>
      </c>
      <c r="N757" s="20"/>
      <c r="O757" s="15"/>
      <c r="P757" s="15"/>
      <c r="Q757" s="21" t="s">
        <v>247</v>
      </c>
      <c r="R757" s="21"/>
      <c r="S757" s="21"/>
      <c r="T757" s="31" t="n">
        <v>45882</v>
      </c>
      <c r="U757" s="24" t="s">
        <v>248</v>
      </c>
    </row>
    <row r="758" s="25" customFormat="true" ht="41.4" hidden="false" customHeight="false" outlineLevel="0" collapsed="false">
      <c r="A758" s="63" t="s">
        <v>1804</v>
      </c>
      <c r="B758" s="26"/>
      <c r="C758" s="70" t="s">
        <v>264</v>
      </c>
      <c r="D758" s="30" t="n">
        <v>12</v>
      </c>
      <c r="E758" s="16" t="n">
        <f aca="false">F758/2</f>
        <v>69337.08</v>
      </c>
      <c r="F758" s="16" t="n">
        <f aca="false">149112*0.93</f>
        <v>138674.16</v>
      </c>
      <c r="G758" s="15" t="s">
        <v>36</v>
      </c>
      <c r="H758" s="17" t="s">
        <v>25</v>
      </c>
      <c r="I758" s="18" t="s">
        <v>26</v>
      </c>
      <c r="J758" s="15" t="n">
        <v>2024</v>
      </c>
      <c r="K758" s="19" t="s">
        <v>27</v>
      </c>
      <c r="L758" s="15" t="s">
        <v>28</v>
      </c>
      <c r="M758" s="15" t="s">
        <v>33</v>
      </c>
      <c r="N758" s="17" t="s">
        <v>240</v>
      </c>
      <c r="O758" s="60"/>
      <c r="P758" s="60"/>
      <c r="Q758" s="21"/>
      <c r="R758" s="21"/>
      <c r="S758" s="40"/>
      <c r="T758" s="31" t="n">
        <v>45880</v>
      </c>
      <c r="U758" s="41"/>
    </row>
    <row r="759" s="25" customFormat="true" ht="41.4" hidden="false" customHeight="false" outlineLevel="0" collapsed="false">
      <c r="A759" s="36" t="s">
        <v>1805</v>
      </c>
      <c r="B759" s="26"/>
      <c r="C759" s="14" t="s">
        <v>1806</v>
      </c>
      <c r="D759" s="15" t="n">
        <v>12</v>
      </c>
      <c r="E759" s="27" t="n">
        <f aca="false">F759/2</f>
        <v>900</v>
      </c>
      <c r="F759" s="16" t="n">
        <v>1800</v>
      </c>
      <c r="G759" s="15" t="s">
        <v>36</v>
      </c>
      <c r="H759" s="17" t="s">
        <v>25</v>
      </c>
      <c r="I759" s="18" t="s">
        <v>26</v>
      </c>
      <c r="J759" s="15" t="n">
        <v>2025</v>
      </c>
      <c r="K759" s="19" t="s">
        <v>1807</v>
      </c>
      <c r="L759" s="15" t="s">
        <v>103</v>
      </c>
      <c r="M759" s="15" t="s">
        <v>33</v>
      </c>
      <c r="N759" s="17"/>
      <c r="O759" s="15"/>
      <c r="P759" s="15"/>
      <c r="Q759" s="21"/>
      <c r="R759" s="21"/>
      <c r="S759" s="21"/>
      <c r="T759" s="28"/>
      <c r="U759" s="24"/>
    </row>
    <row r="760" s="25" customFormat="true" ht="41.4" hidden="false" customHeight="false" outlineLevel="0" collapsed="false">
      <c r="A760" s="36" t="s">
        <v>1808</v>
      </c>
      <c r="B760" s="26" t="s">
        <v>1809</v>
      </c>
      <c r="C760" s="14" t="s">
        <v>171</v>
      </c>
      <c r="D760" s="15" t="n">
        <v>52</v>
      </c>
      <c r="E760" s="27" t="n">
        <f aca="false">F760/2</f>
        <v>810.5</v>
      </c>
      <c r="F760" s="16" t="n">
        <v>1621</v>
      </c>
      <c r="G760" s="15" t="s">
        <v>36</v>
      </c>
      <c r="H760" s="17" t="s">
        <v>25</v>
      </c>
      <c r="I760" s="18" t="s">
        <v>26</v>
      </c>
      <c r="J760" s="15" t="n">
        <v>2014</v>
      </c>
      <c r="K760" s="19" t="s">
        <v>27</v>
      </c>
      <c r="L760" s="15" t="s">
        <v>28</v>
      </c>
      <c r="M760" s="15" t="s">
        <v>33</v>
      </c>
      <c r="N760" s="20" t="s">
        <v>214</v>
      </c>
      <c r="O760" s="15"/>
      <c r="P760" s="15"/>
      <c r="Q760" s="21"/>
      <c r="R760" s="21"/>
      <c r="S760" s="21"/>
      <c r="T760" s="28"/>
      <c r="U760" s="34"/>
    </row>
    <row r="761" s="25" customFormat="true" ht="41.4" hidden="false" customHeight="false" outlineLevel="0" collapsed="false">
      <c r="A761" s="36" t="s">
        <v>1810</v>
      </c>
      <c r="B761" s="26" t="s">
        <v>1811</v>
      </c>
      <c r="C761" s="14" t="s">
        <v>1812</v>
      </c>
      <c r="D761" s="15" t="n">
        <v>6</v>
      </c>
      <c r="E761" s="27" t="n">
        <f aca="false">F761/2</f>
        <v>816</v>
      </c>
      <c r="F761" s="16" t="n">
        <f aca="false">1360*1.2</f>
        <v>1632</v>
      </c>
      <c r="G761" s="15" t="s">
        <v>36</v>
      </c>
      <c r="H761" s="17" t="s">
        <v>25</v>
      </c>
      <c r="I761" s="18" t="s">
        <v>26</v>
      </c>
      <c r="J761" s="15" t="n">
        <v>2020</v>
      </c>
      <c r="K761" s="19" t="s">
        <v>27</v>
      </c>
      <c r="L761" s="15" t="s">
        <v>28</v>
      </c>
      <c r="M761" s="15" t="s">
        <v>33</v>
      </c>
      <c r="N761" s="20" t="s">
        <v>45</v>
      </c>
      <c r="O761" s="15"/>
      <c r="P761" s="15"/>
      <c r="Q761" s="21"/>
      <c r="R761" s="21"/>
      <c r="S761" s="21"/>
      <c r="T761" s="28"/>
      <c r="U761" s="34"/>
    </row>
    <row r="762" s="25" customFormat="true" ht="41.4" hidden="false" customHeight="false" outlineLevel="0" collapsed="false">
      <c r="A762" s="36" t="s">
        <v>1813</v>
      </c>
      <c r="B762" s="26" t="s">
        <v>1814</v>
      </c>
      <c r="C762" s="14" t="s">
        <v>1065</v>
      </c>
      <c r="D762" s="15" t="n">
        <v>12</v>
      </c>
      <c r="E762" s="27" t="n">
        <f aca="false">F762/2</f>
        <v>62685</v>
      </c>
      <c r="F762" s="16" t="n">
        <f aca="false">119400*1.05</f>
        <v>125370</v>
      </c>
      <c r="G762" s="15" t="s">
        <v>36</v>
      </c>
      <c r="H762" s="17" t="s">
        <v>25</v>
      </c>
      <c r="I762" s="18" t="s">
        <v>26</v>
      </c>
      <c r="J762" s="15" t="n">
        <v>2017</v>
      </c>
      <c r="K762" s="19" t="s">
        <v>27</v>
      </c>
      <c r="L762" s="15" t="s">
        <v>28</v>
      </c>
      <c r="M762" s="15" t="s">
        <v>33</v>
      </c>
      <c r="N762" s="17" t="s">
        <v>126</v>
      </c>
      <c r="O762" s="15"/>
      <c r="P762" s="15"/>
      <c r="Q762" s="21" t="s">
        <v>78</v>
      </c>
      <c r="R762" s="21"/>
      <c r="S762" s="21"/>
      <c r="T762" s="31" t="n">
        <v>45856</v>
      </c>
      <c r="U762" s="24"/>
    </row>
    <row r="763" s="25" customFormat="true" ht="41.4" hidden="false" customHeight="false" outlineLevel="0" collapsed="false">
      <c r="A763" s="36" t="s">
        <v>1815</v>
      </c>
      <c r="B763" s="26"/>
      <c r="C763" s="14" t="s">
        <v>558</v>
      </c>
      <c r="D763" s="15" t="n">
        <v>4</v>
      </c>
      <c r="E763" s="27" t="n">
        <f aca="false">F763/2</f>
        <v>6240</v>
      </c>
      <c r="F763" s="16" t="n">
        <f aca="false">10400*1.2</f>
        <v>12480</v>
      </c>
      <c r="G763" s="15" t="s">
        <v>36</v>
      </c>
      <c r="H763" s="17" t="s">
        <v>25</v>
      </c>
      <c r="I763" s="18" t="s">
        <v>26</v>
      </c>
      <c r="J763" s="15" t="n">
        <v>2024</v>
      </c>
      <c r="K763" s="19" t="s">
        <v>27</v>
      </c>
      <c r="L763" s="15" t="s">
        <v>28</v>
      </c>
      <c r="M763" s="15" t="s">
        <v>33</v>
      </c>
      <c r="N763" s="17" t="s">
        <v>83</v>
      </c>
      <c r="O763" s="15"/>
      <c r="P763" s="15"/>
      <c r="Q763" s="21"/>
      <c r="R763" s="21"/>
      <c r="S763" s="21"/>
      <c r="T763" s="31" t="n">
        <v>45807</v>
      </c>
      <c r="U763" s="34"/>
    </row>
    <row r="764" s="25" customFormat="true" ht="41.4" hidden="false" customHeight="false" outlineLevel="0" collapsed="false">
      <c r="A764" s="36" t="s">
        <v>1816</v>
      </c>
      <c r="B764" s="26"/>
      <c r="C764" s="14" t="s">
        <v>81</v>
      </c>
      <c r="D764" s="15" t="n">
        <v>4</v>
      </c>
      <c r="E764" s="16" t="n">
        <f aca="false">F764/2</f>
        <v>50</v>
      </c>
      <c r="F764" s="16" t="n">
        <v>100</v>
      </c>
      <c r="G764" s="15" t="s">
        <v>36</v>
      </c>
      <c r="H764" s="17" t="s">
        <v>25</v>
      </c>
      <c r="I764" s="18" t="s">
        <v>26</v>
      </c>
      <c r="J764" s="15" t="n">
        <v>2024</v>
      </c>
      <c r="K764" s="19" t="s">
        <v>27</v>
      </c>
      <c r="L764" s="15" t="s">
        <v>82</v>
      </c>
      <c r="M764" s="15" t="s">
        <v>33</v>
      </c>
      <c r="N764" s="17" t="s">
        <v>83</v>
      </c>
      <c r="O764" s="15"/>
      <c r="P764" s="15"/>
      <c r="Q764" s="21"/>
      <c r="R764" s="21"/>
      <c r="S764" s="21"/>
      <c r="T764" s="28"/>
      <c r="U764" s="24"/>
    </row>
    <row r="765" s="25" customFormat="true" ht="41.4" hidden="false" customHeight="false" outlineLevel="0" collapsed="false">
      <c r="A765" s="36" t="s">
        <v>1817</v>
      </c>
      <c r="B765" s="26" t="s">
        <v>1818</v>
      </c>
      <c r="C765" s="14" t="s">
        <v>148</v>
      </c>
      <c r="D765" s="15" t="n">
        <v>6</v>
      </c>
      <c r="E765" s="27" t="n">
        <f aca="false">F765/2</f>
        <v>2811</v>
      </c>
      <c r="F765" s="35" t="n">
        <f aca="false">FLOOR(4685*1.2,1)</f>
        <v>5622</v>
      </c>
      <c r="G765" s="15" t="s">
        <v>36</v>
      </c>
      <c r="H765" s="17" t="s">
        <v>25</v>
      </c>
      <c r="I765" s="18" t="s">
        <v>26</v>
      </c>
      <c r="J765" s="15" t="n">
        <v>2020</v>
      </c>
      <c r="K765" s="19" t="s">
        <v>27</v>
      </c>
      <c r="L765" s="15" t="s">
        <v>28</v>
      </c>
      <c r="M765" s="15" t="s">
        <v>33</v>
      </c>
      <c r="N765" s="17" t="s">
        <v>83</v>
      </c>
      <c r="O765" s="15"/>
      <c r="P765" s="15"/>
      <c r="Q765" s="21"/>
      <c r="R765" s="21"/>
      <c r="S765" s="21"/>
      <c r="T765" s="31" t="n">
        <v>45882</v>
      </c>
      <c r="U765" s="34"/>
    </row>
    <row r="766" s="25" customFormat="true" ht="41.4" hidden="false" customHeight="false" outlineLevel="0" collapsed="false">
      <c r="A766" s="12" t="s">
        <v>1819</v>
      </c>
      <c r="B766" s="26" t="s">
        <v>1820</v>
      </c>
      <c r="C766" s="14" t="s">
        <v>1821</v>
      </c>
      <c r="D766" s="15" t="n">
        <v>4</v>
      </c>
      <c r="E766" s="27" t="n">
        <f aca="false">F766/2</f>
        <v>50</v>
      </c>
      <c r="F766" s="16" t="n">
        <v>100</v>
      </c>
      <c r="G766" s="15" t="s">
        <v>354</v>
      </c>
      <c r="H766" s="17" t="s">
        <v>25</v>
      </c>
      <c r="I766" s="18" t="s">
        <v>26</v>
      </c>
      <c r="J766" s="15" t="n">
        <v>2014</v>
      </c>
      <c r="K766" s="19" t="s">
        <v>27</v>
      </c>
      <c r="L766" s="15" t="s">
        <v>28</v>
      </c>
      <c r="M766" s="15" t="s">
        <v>33</v>
      </c>
      <c r="N766" s="17" t="s">
        <v>167</v>
      </c>
      <c r="O766" s="15"/>
      <c r="P766" s="15"/>
      <c r="Q766" s="21" t="s">
        <v>168</v>
      </c>
      <c r="R766" s="21"/>
      <c r="S766" s="21"/>
      <c r="T766" s="28"/>
      <c r="U766" s="24"/>
    </row>
    <row r="767" s="25" customFormat="true" ht="41.4" hidden="false" customHeight="false" outlineLevel="0" collapsed="false">
      <c r="A767" s="12" t="s">
        <v>1822</v>
      </c>
      <c r="B767" s="26" t="s">
        <v>1823</v>
      </c>
      <c r="C767" s="14" t="s">
        <v>330</v>
      </c>
      <c r="D767" s="15" t="n">
        <v>4</v>
      </c>
      <c r="E767" s="27"/>
      <c r="F767" s="16" t="s">
        <v>451</v>
      </c>
      <c r="G767" s="15" t="s">
        <v>24</v>
      </c>
      <c r="H767" s="17" t="s">
        <v>25</v>
      </c>
      <c r="I767" s="18" t="s">
        <v>26</v>
      </c>
      <c r="J767" s="15" t="n">
        <v>2014</v>
      </c>
      <c r="K767" s="19" t="s">
        <v>27</v>
      </c>
      <c r="L767" s="15" t="s">
        <v>28</v>
      </c>
      <c r="M767" s="15" t="s">
        <v>33</v>
      </c>
      <c r="N767" s="17" t="s">
        <v>83</v>
      </c>
      <c r="O767" s="15"/>
      <c r="P767" s="15"/>
      <c r="Q767" s="21" t="s">
        <v>302</v>
      </c>
      <c r="R767" s="21"/>
      <c r="S767" s="21"/>
      <c r="T767" s="28"/>
      <c r="U767" s="24"/>
    </row>
    <row r="768" s="25" customFormat="true" ht="41.4" hidden="false" customHeight="false" outlineLevel="0" collapsed="false">
      <c r="A768" s="12" t="s">
        <v>1824</v>
      </c>
      <c r="B768" s="26" t="s">
        <v>1825</v>
      </c>
      <c r="C768" s="14" t="s">
        <v>307</v>
      </c>
      <c r="D768" s="15" t="n">
        <v>4</v>
      </c>
      <c r="E768" s="27" t="n">
        <f aca="false">F768/2</f>
        <v>50</v>
      </c>
      <c r="F768" s="16" t="n">
        <v>100</v>
      </c>
      <c r="G768" s="15" t="s">
        <v>36</v>
      </c>
      <c r="H768" s="17" t="s">
        <v>25</v>
      </c>
      <c r="I768" s="18" t="s">
        <v>26</v>
      </c>
      <c r="J768" s="15" t="n">
        <v>2019</v>
      </c>
      <c r="K768" s="19" t="s">
        <v>27</v>
      </c>
      <c r="L768" s="15" t="s">
        <v>28</v>
      </c>
      <c r="M768" s="15" t="s">
        <v>33</v>
      </c>
      <c r="N768" s="17" t="s">
        <v>83</v>
      </c>
      <c r="O768" s="15"/>
      <c r="P768" s="15"/>
      <c r="Q768" s="21"/>
      <c r="R768" s="21"/>
      <c r="S768" s="21"/>
      <c r="T768" s="28"/>
      <c r="U768" s="34"/>
    </row>
    <row r="769" s="25" customFormat="true" ht="41.4" hidden="false" customHeight="false" outlineLevel="0" collapsed="false">
      <c r="A769" s="12" t="s">
        <v>1826</v>
      </c>
      <c r="B769" s="26" t="s">
        <v>1827</v>
      </c>
      <c r="C769" s="14" t="s">
        <v>1324</v>
      </c>
      <c r="D769" s="15" t="n">
        <v>4</v>
      </c>
      <c r="E769" s="27" t="n">
        <f aca="false">F769/2</f>
        <v>360</v>
      </c>
      <c r="F769" s="16" t="n">
        <v>720</v>
      </c>
      <c r="G769" s="15" t="s">
        <v>354</v>
      </c>
      <c r="H769" s="17" t="s">
        <v>25</v>
      </c>
      <c r="I769" s="18" t="s">
        <v>26</v>
      </c>
      <c r="J769" s="15" t="n">
        <v>2014</v>
      </c>
      <c r="K769" s="19" t="s">
        <v>1325</v>
      </c>
      <c r="L769" s="15" t="s">
        <v>28</v>
      </c>
      <c r="M769" s="15" t="s">
        <v>33</v>
      </c>
      <c r="N769" s="17" t="s">
        <v>83</v>
      </c>
      <c r="O769" s="15"/>
      <c r="P769" s="15"/>
      <c r="Q769" s="21" t="s">
        <v>302</v>
      </c>
      <c r="R769" s="21"/>
      <c r="S769" s="21"/>
      <c r="T769" s="28"/>
      <c r="U769" s="24"/>
    </row>
    <row r="770" s="25" customFormat="true" ht="41.4" hidden="false" customHeight="false" outlineLevel="0" collapsed="false">
      <c r="A770" s="36" t="s">
        <v>1828</v>
      </c>
      <c r="B770" s="26" t="s">
        <v>1829</v>
      </c>
      <c r="C770" s="14" t="s">
        <v>1830</v>
      </c>
      <c r="D770" s="15" t="n">
        <v>12</v>
      </c>
      <c r="E770" s="27" t="n">
        <f aca="false">F770/2</f>
        <v>8100</v>
      </c>
      <c r="F770" s="16" t="n">
        <f aca="false">16200</f>
        <v>16200</v>
      </c>
      <c r="G770" s="15" t="s">
        <v>24</v>
      </c>
      <c r="H770" s="17" t="s">
        <v>25</v>
      </c>
      <c r="I770" s="18" t="s">
        <v>26</v>
      </c>
      <c r="J770" s="15" t="n">
        <v>2012</v>
      </c>
      <c r="K770" s="19" t="s">
        <v>27</v>
      </c>
      <c r="L770" s="15" t="s">
        <v>28</v>
      </c>
      <c r="M770" s="15" t="s">
        <v>33</v>
      </c>
      <c r="N770" s="17" t="s">
        <v>83</v>
      </c>
      <c r="O770" s="15" t="s">
        <v>54</v>
      </c>
      <c r="P770" s="17" t="s">
        <v>1147</v>
      </c>
      <c r="Q770" s="21" t="s">
        <v>302</v>
      </c>
      <c r="R770" s="21"/>
      <c r="S770" s="21"/>
      <c r="T770" s="28"/>
      <c r="U770" s="24"/>
    </row>
    <row r="771" s="25" customFormat="true" ht="41.4" hidden="false" customHeight="false" outlineLevel="0" collapsed="false">
      <c r="A771" s="36" t="s">
        <v>1831</v>
      </c>
      <c r="B771" s="26" t="s">
        <v>1832</v>
      </c>
      <c r="C771" s="14" t="s">
        <v>1833</v>
      </c>
      <c r="D771" s="15" t="n">
        <v>12</v>
      </c>
      <c r="E771" s="27" t="n">
        <f aca="false">F771/2</f>
        <v>7485</v>
      </c>
      <c r="F771" s="16" t="n">
        <v>14970</v>
      </c>
      <c r="G771" s="15" t="s">
        <v>24</v>
      </c>
      <c r="H771" s="17" t="s">
        <v>25</v>
      </c>
      <c r="I771" s="18" t="s">
        <v>26</v>
      </c>
      <c r="J771" s="15" t="n">
        <v>2013</v>
      </c>
      <c r="K771" s="19" t="s">
        <v>27</v>
      </c>
      <c r="L771" s="15" t="s">
        <v>28</v>
      </c>
      <c r="M771" s="15" t="s">
        <v>33</v>
      </c>
      <c r="N771" s="17" t="s">
        <v>83</v>
      </c>
      <c r="O771" s="15"/>
      <c r="P771" s="15"/>
      <c r="Q771" s="21" t="s">
        <v>939</v>
      </c>
      <c r="R771" s="21"/>
      <c r="S771" s="21"/>
      <c r="T771" s="28"/>
      <c r="U771" s="24"/>
    </row>
    <row r="772" s="25" customFormat="true" ht="41.4" hidden="false" customHeight="false" outlineLevel="0" collapsed="false">
      <c r="A772" s="36" t="s">
        <v>1834</v>
      </c>
      <c r="B772" s="26" t="s">
        <v>1835</v>
      </c>
      <c r="C772" s="70" t="s">
        <v>729</v>
      </c>
      <c r="D772" s="15" t="n">
        <v>4</v>
      </c>
      <c r="E772" s="27" t="n">
        <f aca="false">F772/2</f>
        <v>800</v>
      </c>
      <c r="F772" s="16" t="n">
        <v>1600</v>
      </c>
      <c r="G772" s="15" t="s">
        <v>36</v>
      </c>
      <c r="H772" s="17" t="s">
        <v>25</v>
      </c>
      <c r="I772" s="18" t="s">
        <v>26</v>
      </c>
      <c r="J772" s="15" t="n">
        <v>2020</v>
      </c>
      <c r="K772" s="19" t="s">
        <v>27</v>
      </c>
      <c r="L772" s="15" t="s">
        <v>28</v>
      </c>
      <c r="M772" s="15" t="s">
        <v>33</v>
      </c>
      <c r="N772" s="17" t="s">
        <v>83</v>
      </c>
      <c r="O772" s="15"/>
      <c r="P772" s="15"/>
      <c r="Q772" s="21"/>
      <c r="R772" s="21"/>
      <c r="S772" s="21"/>
      <c r="T772" s="28"/>
      <c r="U772" s="34"/>
    </row>
    <row r="773" s="25" customFormat="true" ht="41.4" hidden="false" customHeight="false" outlineLevel="0" collapsed="false">
      <c r="A773" s="36" t="s">
        <v>1836</v>
      </c>
      <c r="B773" s="26" t="s">
        <v>1837</v>
      </c>
      <c r="C773" s="70" t="s">
        <v>301</v>
      </c>
      <c r="D773" s="15" t="n">
        <v>4</v>
      </c>
      <c r="E773" s="27" t="n">
        <f aca="false">F773/2</f>
        <v>3194.5</v>
      </c>
      <c r="F773" s="16" t="n">
        <f aca="false">CEILING(5324*1.2,1)</f>
        <v>6389</v>
      </c>
      <c r="G773" s="15" t="s">
        <v>36</v>
      </c>
      <c r="H773" s="17" t="s">
        <v>25</v>
      </c>
      <c r="I773" s="18" t="s">
        <v>26</v>
      </c>
      <c r="J773" s="15" t="n">
        <v>2018</v>
      </c>
      <c r="K773" s="19" t="s">
        <v>27</v>
      </c>
      <c r="L773" s="15" t="s">
        <v>28</v>
      </c>
      <c r="M773" s="15" t="s">
        <v>33</v>
      </c>
      <c r="N773" s="17" t="s">
        <v>83</v>
      </c>
      <c r="O773" s="15" t="s">
        <v>250</v>
      </c>
      <c r="P773" s="15"/>
      <c r="Q773" s="21" t="s">
        <v>78</v>
      </c>
      <c r="R773" s="21"/>
      <c r="S773" s="21"/>
      <c r="T773" s="28"/>
      <c r="U773" s="24"/>
    </row>
    <row r="774" s="25" customFormat="true" ht="55.2" hidden="false" customHeight="false" outlineLevel="0" collapsed="false">
      <c r="A774" s="36" t="s">
        <v>1838</v>
      </c>
      <c r="B774" s="26" t="s">
        <v>1839</v>
      </c>
      <c r="C774" s="14" t="s">
        <v>1840</v>
      </c>
      <c r="D774" s="15" t="n">
        <v>4</v>
      </c>
      <c r="E774" s="27" t="n">
        <f aca="false">F774/2</f>
        <v>50</v>
      </c>
      <c r="F774" s="16" t="n">
        <v>100</v>
      </c>
      <c r="G774" s="15" t="s">
        <v>36</v>
      </c>
      <c r="H774" s="17" t="s">
        <v>25</v>
      </c>
      <c r="I774" s="18" t="s">
        <v>26</v>
      </c>
      <c r="J774" s="15" t="n">
        <v>2020</v>
      </c>
      <c r="K774" s="19" t="s">
        <v>27</v>
      </c>
      <c r="L774" s="15" t="s">
        <v>28</v>
      </c>
      <c r="M774" s="15" t="s">
        <v>33</v>
      </c>
      <c r="N774" s="20" t="s">
        <v>83</v>
      </c>
      <c r="O774" s="15"/>
      <c r="P774" s="15"/>
      <c r="Q774" s="21"/>
      <c r="R774" s="21"/>
      <c r="S774" s="21"/>
      <c r="T774" s="28"/>
      <c r="U774" s="34"/>
    </row>
    <row r="775" s="25" customFormat="true" ht="41.4" hidden="false" customHeight="false" outlineLevel="0" collapsed="false">
      <c r="A775" s="36" t="s">
        <v>1841</v>
      </c>
      <c r="B775" s="26"/>
      <c r="C775" s="14" t="s">
        <v>1842</v>
      </c>
      <c r="D775" s="15" t="n">
        <v>4</v>
      </c>
      <c r="E775" s="27" t="n">
        <f aca="false">F775/2</f>
        <v>900</v>
      </c>
      <c r="F775" s="16" t="n">
        <v>1800</v>
      </c>
      <c r="G775" s="15" t="s">
        <v>36</v>
      </c>
      <c r="H775" s="17" t="s">
        <v>25</v>
      </c>
      <c r="I775" s="18" t="s">
        <v>26</v>
      </c>
      <c r="J775" s="15" t="n">
        <v>2022</v>
      </c>
      <c r="K775" s="19" t="s">
        <v>27</v>
      </c>
      <c r="L775" s="15" t="s">
        <v>28</v>
      </c>
      <c r="M775" s="15" t="s">
        <v>33</v>
      </c>
      <c r="N775" s="17" t="s">
        <v>83</v>
      </c>
      <c r="O775" s="15"/>
      <c r="P775" s="15"/>
      <c r="Q775" s="21"/>
      <c r="R775" s="21"/>
      <c r="S775" s="21"/>
      <c r="T775" s="28"/>
      <c r="U775" s="24"/>
    </row>
    <row r="776" s="25" customFormat="true" ht="41.4" hidden="false" customHeight="false" outlineLevel="0" collapsed="false">
      <c r="A776" s="36" t="s">
        <v>1843</v>
      </c>
      <c r="B776" s="26" t="s">
        <v>1844</v>
      </c>
      <c r="C776" s="14" t="s">
        <v>327</v>
      </c>
      <c r="D776" s="15" t="n">
        <v>4</v>
      </c>
      <c r="E776" s="27" t="n">
        <f aca="false">F776/2</f>
        <v>50</v>
      </c>
      <c r="F776" s="16" t="n">
        <v>100</v>
      </c>
      <c r="G776" s="15" t="s">
        <v>36</v>
      </c>
      <c r="H776" s="17" t="s">
        <v>25</v>
      </c>
      <c r="I776" s="18" t="s">
        <v>26</v>
      </c>
      <c r="J776" s="15" t="n">
        <v>2017</v>
      </c>
      <c r="K776" s="19" t="s">
        <v>27</v>
      </c>
      <c r="L776" s="15" t="s">
        <v>28</v>
      </c>
      <c r="M776" s="15" t="s">
        <v>33</v>
      </c>
      <c r="N776" s="17" t="s">
        <v>83</v>
      </c>
      <c r="O776" s="15"/>
      <c r="P776" s="15"/>
      <c r="Q776" s="21" t="s">
        <v>302</v>
      </c>
      <c r="R776" s="21"/>
      <c r="S776" s="21"/>
      <c r="T776" s="31" t="n">
        <v>45925</v>
      </c>
      <c r="U776" s="24"/>
    </row>
    <row r="777" s="25" customFormat="true" ht="41.4" hidden="false" customHeight="false" outlineLevel="0" collapsed="false">
      <c r="A777" s="36" t="s">
        <v>1845</v>
      </c>
      <c r="B777" s="26" t="s">
        <v>1846</v>
      </c>
      <c r="C777" s="14"/>
      <c r="D777" s="15" t="n">
        <v>1</v>
      </c>
      <c r="E777" s="27" t="n">
        <f aca="false">F777/2</f>
        <v>150</v>
      </c>
      <c r="F777" s="16" t="n">
        <v>300</v>
      </c>
      <c r="G777" s="15" t="s">
        <v>354</v>
      </c>
      <c r="H777" s="17" t="s">
        <v>25</v>
      </c>
      <c r="I777" s="18" t="s">
        <v>26</v>
      </c>
      <c r="J777" s="15" t="n">
        <v>2012</v>
      </c>
      <c r="K777" s="19" t="s">
        <v>27</v>
      </c>
      <c r="L777" s="15" t="s">
        <v>28</v>
      </c>
      <c r="M777" s="15" t="s">
        <v>33</v>
      </c>
      <c r="N777" s="17"/>
      <c r="O777" s="15"/>
      <c r="P777" s="15"/>
      <c r="Q777" s="21" t="s">
        <v>78</v>
      </c>
      <c r="R777" s="21"/>
      <c r="S777" s="21"/>
      <c r="T777" s="28"/>
      <c r="U777" s="24"/>
    </row>
    <row r="778" s="25" customFormat="true" ht="41.4" hidden="false" customHeight="false" outlineLevel="0" collapsed="false">
      <c r="A778" s="36" t="s">
        <v>1847</v>
      </c>
      <c r="B778" s="26" t="s">
        <v>1848</v>
      </c>
      <c r="C778" s="14" t="s">
        <v>1849</v>
      </c>
      <c r="D778" s="15" t="n">
        <v>12</v>
      </c>
      <c r="E778" s="27" t="n">
        <f aca="false">F778/2</f>
        <v>21600</v>
      </c>
      <c r="F778" s="16" t="n">
        <v>43200</v>
      </c>
      <c r="G778" s="15" t="s">
        <v>24</v>
      </c>
      <c r="H778" s="17" t="s">
        <v>25</v>
      </c>
      <c r="I778" s="18" t="s">
        <v>26</v>
      </c>
      <c r="J778" s="15" t="n">
        <v>2019</v>
      </c>
      <c r="K778" s="19" t="s">
        <v>27</v>
      </c>
      <c r="L778" s="15" t="s">
        <v>28</v>
      </c>
      <c r="M778" s="15" t="s">
        <v>33</v>
      </c>
      <c r="N778" s="17" t="s">
        <v>87</v>
      </c>
      <c r="O778" s="15"/>
      <c r="P778" s="15"/>
      <c r="Q778" s="21" t="s">
        <v>78</v>
      </c>
      <c r="R778" s="21"/>
      <c r="S778" s="21"/>
      <c r="T778" s="28"/>
      <c r="U778" s="24"/>
    </row>
    <row r="779" s="25" customFormat="true" ht="41.4" hidden="false" customHeight="false" outlineLevel="0" collapsed="false">
      <c r="A779" s="36" t="s">
        <v>1850</v>
      </c>
      <c r="B779" s="26" t="s">
        <v>1851</v>
      </c>
      <c r="C779" s="14" t="s">
        <v>246</v>
      </c>
      <c r="D779" s="15" t="n">
        <v>6</v>
      </c>
      <c r="E779" s="27" t="n">
        <f aca="false">F779/2</f>
        <v>12820</v>
      </c>
      <c r="F779" s="38" t="n">
        <v>25640</v>
      </c>
      <c r="G779" s="15" t="s">
        <v>36</v>
      </c>
      <c r="H779" s="17" t="s">
        <v>25</v>
      </c>
      <c r="I779" s="18" t="s">
        <v>26</v>
      </c>
      <c r="J779" s="15" t="n">
        <v>2017</v>
      </c>
      <c r="K779" s="19" t="s">
        <v>27</v>
      </c>
      <c r="L779" s="15" t="s">
        <v>28</v>
      </c>
      <c r="M779" s="15" t="s">
        <v>33</v>
      </c>
      <c r="N779" s="20" t="s">
        <v>87</v>
      </c>
      <c r="O779" s="15"/>
      <c r="P779" s="15"/>
      <c r="Q779" s="21" t="s">
        <v>247</v>
      </c>
      <c r="R779" s="21"/>
      <c r="S779" s="21"/>
      <c r="T779" s="31" t="n">
        <v>45882</v>
      </c>
      <c r="U779" s="24" t="s">
        <v>248</v>
      </c>
    </row>
    <row r="780" s="25" customFormat="true" ht="41.4" hidden="false" customHeight="false" outlineLevel="0" collapsed="false">
      <c r="A780" s="36" t="s">
        <v>1852</v>
      </c>
      <c r="B780" s="26" t="n">
        <v>12115</v>
      </c>
      <c r="C780" s="14" t="s">
        <v>1853</v>
      </c>
      <c r="D780" s="15" t="n">
        <v>240</v>
      </c>
      <c r="E780" s="27" t="n">
        <v>4500</v>
      </c>
      <c r="F780" s="16" t="n">
        <v>8550</v>
      </c>
      <c r="G780" s="15" t="s">
        <v>36</v>
      </c>
      <c r="H780" s="17" t="s">
        <v>25</v>
      </c>
      <c r="I780" s="18" t="s">
        <v>26</v>
      </c>
      <c r="J780" s="15" t="n">
        <v>1997</v>
      </c>
      <c r="K780" s="19" t="s">
        <v>27</v>
      </c>
      <c r="L780" s="15" t="s">
        <v>103</v>
      </c>
      <c r="M780" s="15" t="s">
        <v>33</v>
      </c>
      <c r="N780" s="17" t="s">
        <v>343</v>
      </c>
      <c r="O780" s="15"/>
      <c r="P780" s="15"/>
      <c r="Q780" s="21"/>
      <c r="R780" s="21"/>
      <c r="S780" s="21"/>
      <c r="T780" s="28"/>
      <c r="U780" s="24" t="s">
        <v>1854</v>
      </c>
    </row>
    <row r="781" s="25" customFormat="true" ht="41.4" hidden="false" customHeight="false" outlineLevel="0" collapsed="false">
      <c r="A781" s="36" t="s">
        <v>1855</v>
      </c>
      <c r="B781" s="26" t="s">
        <v>1856</v>
      </c>
      <c r="C781" s="14" t="s">
        <v>1853</v>
      </c>
      <c r="D781" s="15" t="n">
        <v>52</v>
      </c>
      <c r="E781" s="27" t="n">
        <v>4500</v>
      </c>
      <c r="F781" s="16" t="n">
        <v>9000</v>
      </c>
      <c r="G781" s="15" t="s">
        <v>36</v>
      </c>
      <c r="H781" s="17" t="s">
        <v>25</v>
      </c>
      <c r="I781" s="18" t="s">
        <v>26</v>
      </c>
      <c r="J781" s="15" t="n">
        <v>2023</v>
      </c>
      <c r="K781" s="19" t="s">
        <v>27</v>
      </c>
      <c r="L781" s="15" t="s">
        <v>103</v>
      </c>
      <c r="M781" s="15" t="s">
        <v>33</v>
      </c>
      <c r="N781" s="17" t="s">
        <v>343</v>
      </c>
      <c r="O781" s="15"/>
      <c r="P781" s="15"/>
      <c r="Q781" s="21"/>
      <c r="R781" s="21"/>
      <c r="S781" s="21"/>
      <c r="T781" s="28"/>
      <c r="U781" s="24"/>
    </row>
    <row r="782" s="25" customFormat="true" ht="41.4" hidden="false" customHeight="false" outlineLevel="0" collapsed="false">
      <c r="A782" s="36" t="s">
        <v>1857</v>
      </c>
      <c r="B782" s="26"/>
      <c r="C782" s="14" t="s">
        <v>283</v>
      </c>
      <c r="D782" s="15" t="n">
        <v>4</v>
      </c>
      <c r="E782" s="27" t="n">
        <f aca="false">F782/2</f>
        <v>4680</v>
      </c>
      <c r="F782" s="16" t="n">
        <f aca="false">7800*1.2</f>
        <v>9360</v>
      </c>
      <c r="G782" s="15" t="s">
        <v>36</v>
      </c>
      <c r="H782" s="17" t="s">
        <v>25</v>
      </c>
      <c r="I782" s="18" t="s">
        <v>26</v>
      </c>
      <c r="J782" s="15" t="n">
        <v>2025</v>
      </c>
      <c r="K782" s="19" t="s">
        <v>27</v>
      </c>
      <c r="L782" s="15" t="s">
        <v>28</v>
      </c>
      <c r="M782" s="15" t="s">
        <v>33</v>
      </c>
      <c r="N782" s="17"/>
      <c r="O782" s="15"/>
      <c r="P782" s="15"/>
      <c r="Q782" s="21"/>
      <c r="R782" s="21"/>
      <c r="S782" s="21"/>
      <c r="T782" s="28"/>
      <c r="U782" s="24" t="s">
        <v>1858</v>
      </c>
    </row>
    <row r="783" s="25" customFormat="true" ht="41.4" hidden="false" customHeight="false" outlineLevel="0" collapsed="false">
      <c r="A783" s="36" t="s">
        <v>1859</v>
      </c>
      <c r="B783" s="26" t="s">
        <v>1860</v>
      </c>
      <c r="C783" s="14"/>
      <c r="D783" s="15" t="n">
        <v>6</v>
      </c>
      <c r="E783" s="27" t="n">
        <f aca="false">F783/2</f>
        <v>600</v>
      </c>
      <c r="F783" s="16" t="n">
        <v>1200</v>
      </c>
      <c r="G783" s="15" t="s">
        <v>354</v>
      </c>
      <c r="H783" s="17" t="s">
        <v>25</v>
      </c>
      <c r="I783" s="18" t="s">
        <v>26</v>
      </c>
      <c r="J783" s="15"/>
      <c r="K783" s="19" t="s">
        <v>27</v>
      </c>
      <c r="L783" s="15" t="s">
        <v>28</v>
      </c>
      <c r="M783" s="15" t="s">
        <v>33</v>
      </c>
      <c r="N783" s="17"/>
      <c r="O783" s="15"/>
      <c r="P783" s="15"/>
      <c r="Q783" s="21" t="s">
        <v>78</v>
      </c>
      <c r="R783" s="21"/>
      <c r="S783" s="21"/>
      <c r="T783" s="28"/>
      <c r="U783" s="24"/>
    </row>
    <row r="784" s="25" customFormat="true" ht="41.4" hidden="false" customHeight="false" outlineLevel="0" collapsed="false">
      <c r="A784" s="36" t="s">
        <v>1861</v>
      </c>
      <c r="B784" s="26" t="s">
        <v>1862</v>
      </c>
      <c r="C784" s="14"/>
      <c r="D784" s="15" t="n">
        <v>10</v>
      </c>
      <c r="E784" s="27" t="n">
        <v>1650</v>
      </c>
      <c r="F784" s="16" t="n">
        <v>3300</v>
      </c>
      <c r="G784" s="15" t="s">
        <v>354</v>
      </c>
      <c r="H784" s="17" t="s">
        <v>25</v>
      </c>
      <c r="I784" s="18" t="s">
        <v>26</v>
      </c>
      <c r="J784" s="15" t="n">
        <v>2016</v>
      </c>
      <c r="K784" s="19" t="s">
        <v>27</v>
      </c>
      <c r="L784" s="15" t="s">
        <v>28</v>
      </c>
      <c r="M784" s="15" t="s">
        <v>33</v>
      </c>
      <c r="N784" s="17"/>
      <c r="O784" s="15"/>
      <c r="P784" s="15"/>
      <c r="Q784" s="21" t="s">
        <v>78</v>
      </c>
      <c r="R784" s="21"/>
      <c r="S784" s="21"/>
      <c r="T784" s="28"/>
      <c r="U784" s="24"/>
    </row>
    <row r="785" s="25" customFormat="true" ht="43.2" hidden="false" customHeight="false" outlineLevel="0" collapsed="false">
      <c r="A785" s="36" t="s">
        <v>1863</v>
      </c>
      <c r="B785" s="26"/>
      <c r="C785" s="14" t="s">
        <v>1048</v>
      </c>
      <c r="D785" s="15" t="n">
        <v>12</v>
      </c>
      <c r="E785" s="27" t="n">
        <v>2559</v>
      </c>
      <c r="F785" s="16" t="n">
        <f aca="false">E785*2</f>
        <v>5118</v>
      </c>
      <c r="G785" s="15" t="s">
        <v>36</v>
      </c>
      <c r="H785" s="17" t="s">
        <v>25</v>
      </c>
      <c r="I785" s="18" t="s">
        <v>26</v>
      </c>
      <c r="J785" s="15" t="n">
        <v>2021</v>
      </c>
      <c r="K785" s="19" t="s">
        <v>27</v>
      </c>
      <c r="L785" s="15" t="s">
        <v>28</v>
      </c>
      <c r="M785" s="15" t="s">
        <v>33</v>
      </c>
      <c r="N785" s="20" t="s">
        <v>45</v>
      </c>
      <c r="O785" s="15"/>
      <c r="P785" s="15"/>
      <c r="Q785" s="21"/>
      <c r="R785" s="21"/>
      <c r="S785" s="21"/>
      <c r="T785" s="31" t="n">
        <v>45897</v>
      </c>
      <c r="U785" s="34"/>
    </row>
    <row r="786" s="25" customFormat="true" ht="43.2" hidden="false" customHeight="false" outlineLevel="0" collapsed="false">
      <c r="A786" s="36" t="s">
        <v>1864</v>
      </c>
      <c r="B786" s="26"/>
      <c r="C786" s="14" t="s">
        <v>1048</v>
      </c>
      <c r="D786" s="15" t="n">
        <v>12</v>
      </c>
      <c r="E786" s="27" t="n">
        <v>1409</v>
      </c>
      <c r="F786" s="16" t="n">
        <f aca="false">E786*2</f>
        <v>2818</v>
      </c>
      <c r="G786" s="15" t="s">
        <v>36</v>
      </c>
      <c r="H786" s="17" t="s">
        <v>25</v>
      </c>
      <c r="I786" s="18" t="s">
        <v>26</v>
      </c>
      <c r="J786" s="15" t="n">
        <v>2021</v>
      </c>
      <c r="K786" s="19" t="s">
        <v>27</v>
      </c>
      <c r="L786" s="15" t="s">
        <v>28</v>
      </c>
      <c r="M786" s="15" t="s">
        <v>33</v>
      </c>
      <c r="N786" s="20" t="s">
        <v>45</v>
      </c>
      <c r="O786" s="15"/>
      <c r="P786" s="15"/>
      <c r="Q786" s="21"/>
      <c r="R786" s="21"/>
      <c r="S786" s="21"/>
      <c r="T786" s="31" t="n">
        <v>45897</v>
      </c>
      <c r="U786" s="24"/>
    </row>
    <row r="787" s="25" customFormat="true" ht="57.6" hidden="false" customHeight="false" outlineLevel="0" collapsed="false">
      <c r="A787" s="36" t="s">
        <v>1865</v>
      </c>
      <c r="B787" s="26"/>
      <c r="C787" s="14" t="s">
        <v>1048</v>
      </c>
      <c r="D787" s="15" t="n">
        <v>10</v>
      </c>
      <c r="E787" s="27" t="n">
        <v>1717</v>
      </c>
      <c r="F787" s="16" t="n">
        <f aca="false">E787*2</f>
        <v>3434</v>
      </c>
      <c r="G787" s="15" t="s">
        <v>36</v>
      </c>
      <c r="H787" s="17" t="s">
        <v>25</v>
      </c>
      <c r="I787" s="18" t="s">
        <v>26</v>
      </c>
      <c r="J787" s="15" t="n">
        <v>2021</v>
      </c>
      <c r="K787" s="19" t="s">
        <v>27</v>
      </c>
      <c r="L787" s="15" t="s">
        <v>28</v>
      </c>
      <c r="M787" s="15" t="s">
        <v>33</v>
      </c>
      <c r="N787" s="20" t="s">
        <v>45</v>
      </c>
      <c r="O787" s="15"/>
      <c r="P787" s="15"/>
      <c r="Q787" s="21"/>
      <c r="R787" s="21"/>
      <c r="S787" s="21"/>
      <c r="T787" s="31" t="n">
        <v>45897</v>
      </c>
      <c r="U787" s="34"/>
    </row>
    <row r="788" s="25" customFormat="true" ht="57.6" hidden="false" customHeight="false" outlineLevel="0" collapsed="false">
      <c r="A788" s="36" t="s">
        <v>1866</v>
      </c>
      <c r="B788" s="26"/>
      <c r="C788" s="14" t="s">
        <v>1048</v>
      </c>
      <c r="D788" s="15" t="n">
        <v>10</v>
      </c>
      <c r="E788" s="27" t="n">
        <v>2577</v>
      </c>
      <c r="F788" s="16" t="n">
        <f aca="false">E788*2</f>
        <v>5154</v>
      </c>
      <c r="G788" s="15" t="s">
        <v>36</v>
      </c>
      <c r="H788" s="17" t="s">
        <v>25</v>
      </c>
      <c r="I788" s="18" t="s">
        <v>26</v>
      </c>
      <c r="J788" s="15" t="n">
        <v>2021</v>
      </c>
      <c r="K788" s="19" t="s">
        <v>27</v>
      </c>
      <c r="L788" s="15" t="s">
        <v>28</v>
      </c>
      <c r="M788" s="15" t="s">
        <v>33</v>
      </c>
      <c r="N788" s="20" t="s">
        <v>45</v>
      </c>
      <c r="O788" s="15"/>
      <c r="P788" s="15"/>
      <c r="Q788" s="21"/>
      <c r="R788" s="21"/>
      <c r="S788" s="21"/>
      <c r="T788" s="31" t="n">
        <v>45897</v>
      </c>
      <c r="U788" s="34"/>
    </row>
    <row r="789" s="25" customFormat="true" ht="41.4" hidden="false" customHeight="false" outlineLevel="0" collapsed="false">
      <c r="A789" s="36" t="s">
        <v>1867</v>
      </c>
      <c r="B789" s="26" t="s">
        <v>1868</v>
      </c>
      <c r="C789" s="14" t="s">
        <v>148</v>
      </c>
      <c r="D789" s="15" t="n">
        <v>12</v>
      </c>
      <c r="E789" s="27" t="n">
        <f aca="false">F789/2</f>
        <v>6490.5</v>
      </c>
      <c r="F789" s="35" t="n">
        <f aca="false">FLOOR(10818*1.2,1)</f>
        <v>12981</v>
      </c>
      <c r="G789" s="15" t="s">
        <v>36</v>
      </c>
      <c r="H789" s="17" t="s">
        <v>25</v>
      </c>
      <c r="I789" s="18" t="s">
        <v>26</v>
      </c>
      <c r="J789" s="15" t="n">
        <v>2020</v>
      </c>
      <c r="K789" s="19" t="s">
        <v>27</v>
      </c>
      <c r="L789" s="15" t="s">
        <v>28</v>
      </c>
      <c r="M789" s="15" t="s">
        <v>33</v>
      </c>
      <c r="N789" s="17" t="s">
        <v>83</v>
      </c>
      <c r="O789" s="15"/>
      <c r="P789" s="15"/>
      <c r="Q789" s="21"/>
      <c r="R789" s="21"/>
      <c r="S789" s="21"/>
      <c r="T789" s="31" t="n">
        <v>45882</v>
      </c>
      <c r="U789" s="34"/>
    </row>
    <row r="790" s="25" customFormat="true" ht="41.4" hidden="false" customHeight="false" outlineLevel="0" collapsed="false">
      <c r="A790" s="36" t="s">
        <v>1869</v>
      </c>
      <c r="B790" s="26"/>
      <c r="C790" s="14" t="s">
        <v>1870</v>
      </c>
      <c r="D790" s="15" t="n">
        <v>4</v>
      </c>
      <c r="E790" s="16" t="n">
        <f aca="false">F790/2</f>
        <v>9360</v>
      </c>
      <c r="F790" s="16" t="n">
        <f aca="false">15600*1.2</f>
        <v>18720</v>
      </c>
      <c r="G790" s="15" t="s">
        <v>36</v>
      </c>
      <c r="H790" s="17" t="s">
        <v>25</v>
      </c>
      <c r="I790" s="18" t="s">
        <v>26</v>
      </c>
      <c r="J790" s="15" t="n">
        <v>2024</v>
      </c>
      <c r="K790" s="19" t="s">
        <v>27</v>
      </c>
      <c r="L790" s="15" t="s">
        <v>28</v>
      </c>
      <c r="M790" s="15" t="s">
        <v>33</v>
      </c>
      <c r="N790" s="17"/>
      <c r="O790" s="15"/>
      <c r="P790" s="15"/>
      <c r="Q790" s="21"/>
      <c r="R790" s="21"/>
      <c r="S790" s="21"/>
      <c r="T790" s="31" t="n">
        <v>45893</v>
      </c>
      <c r="U790" s="24"/>
    </row>
    <row r="791" s="25" customFormat="true" ht="41.4" hidden="false" customHeight="false" outlineLevel="0" collapsed="false">
      <c r="A791" s="36" t="s">
        <v>1871</v>
      </c>
      <c r="B791" s="26" t="s">
        <v>1872</v>
      </c>
      <c r="C791" s="14" t="s">
        <v>1873</v>
      </c>
      <c r="D791" s="15" t="n">
        <v>6</v>
      </c>
      <c r="E791" s="27" t="n">
        <f aca="false">F791/2</f>
        <v>50</v>
      </c>
      <c r="F791" s="16" t="n">
        <v>100</v>
      </c>
      <c r="G791" s="15" t="s">
        <v>36</v>
      </c>
      <c r="H791" s="17" t="s">
        <v>25</v>
      </c>
      <c r="I791" s="18" t="s">
        <v>26</v>
      </c>
      <c r="J791" s="15" t="n">
        <v>2000</v>
      </c>
      <c r="K791" s="19" t="s">
        <v>1874</v>
      </c>
      <c r="L791" s="15" t="s">
        <v>28</v>
      </c>
      <c r="M791" s="15" t="s">
        <v>33</v>
      </c>
      <c r="N791" s="20" t="s">
        <v>96</v>
      </c>
      <c r="O791" s="15"/>
      <c r="P791" s="15"/>
      <c r="Q791" s="21"/>
      <c r="R791" s="21"/>
      <c r="S791" s="21"/>
      <c r="T791" s="28"/>
      <c r="U791" s="34"/>
    </row>
    <row r="792" s="25" customFormat="true" ht="41.4" hidden="false" customHeight="false" outlineLevel="0" collapsed="false">
      <c r="A792" s="36" t="s">
        <v>1875</v>
      </c>
      <c r="B792" s="26" t="s">
        <v>1876</v>
      </c>
      <c r="C792" s="14"/>
      <c r="D792" s="15" t="n">
        <v>312</v>
      </c>
      <c r="E792" s="27" t="n">
        <f aca="false">F792/2</f>
        <v>2470</v>
      </c>
      <c r="F792" s="16" t="n">
        <v>4940</v>
      </c>
      <c r="G792" s="15" t="s">
        <v>354</v>
      </c>
      <c r="H792" s="17" t="s">
        <v>25</v>
      </c>
      <c r="I792" s="18" t="s">
        <v>26</v>
      </c>
      <c r="J792" s="15" t="n">
        <v>1997</v>
      </c>
      <c r="K792" s="19" t="s">
        <v>27</v>
      </c>
      <c r="L792" s="15" t="s">
        <v>103</v>
      </c>
      <c r="M792" s="15" t="s">
        <v>33</v>
      </c>
      <c r="N792" s="17" t="s">
        <v>343</v>
      </c>
      <c r="O792" s="15"/>
      <c r="P792" s="15"/>
      <c r="Q792" s="21" t="s">
        <v>344</v>
      </c>
      <c r="R792" s="21"/>
      <c r="S792" s="21"/>
      <c r="T792" s="28"/>
      <c r="U792" s="24" t="s">
        <v>1877</v>
      </c>
    </row>
    <row r="793" s="25" customFormat="true" ht="41.4" hidden="false" customHeight="false" outlineLevel="0" collapsed="false">
      <c r="A793" s="36" t="s">
        <v>1878</v>
      </c>
      <c r="B793" s="26"/>
      <c r="C793" s="14" t="s">
        <v>1879</v>
      </c>
      <c r="D793" s="15" t="n">
        <v>6</v>
      </c>
      <c r="E793" s="16" t="n">
        <f aca="false">F793/2</f>
        <v>1444.5</v>
      </c>
      <c r="F793" s="16" t="n">
        <f aca="false">CEILING(2700*1.07,1)</f>
        <v>2889</v>
      </c>
      <c r="G793" s="15" t="s">
        <v>36</v>
      </c>
      <c r="H793" s="17" t="s">
        <v>25</v>
      </c>
      <c r="I793" s="18" t="s">
        <v>26</v>
      </c>
      <c r="J793" s="15" t="n">
        <v>2024</v>
      </c>
      <c r="K793" s="19" t="s">
        <v>1880</v>
      </c>
      <c r="L793" s="15" t="s">
        <v>28</v>
      </c>
      <c r="M793" s="15" t="s">
        <v>33</v>
      </c>
      <c r="N793" s="17"/>
      <c r="O793" s="15"/>
      <c r="P793" s="15"/>
      <c r="Q793" s="21"/>
      <c r="R793" s="21"/>
      <c r="S793" s="21"/>
      <c r="T793" s="28"/>
      <c r="U793" s="24"/>
    </row>
    <row r="794" s="25" customFormat="true" ht="41.4" hidden="false" customHeight="false" outlineLevel="0" collapsed="false">
      <c r="A794" s="63" t="s">
        <v>1881</v>
      </c>
      <c r="B794" s="26"/>
      <c r="C794" s="14" t="s">
        <v>264</v>
      </c>
      <c r="D794" s="30" t="n">
        <v>6</v>
      </c>
      <c r="E794" s="27" t="n">
        <f aca="false">F794/2</f>
        <v>34668.54</v>
      </c>
      <c r="F794" s="16" t="n">
        <f aca="false">74556*0.93</f>
        <v>69337.08</v>
      </c>
      <c r="G794" s="15" t="s">
        <v>36</v>
      </c>
      <c r="H794" s="17" t="s">
        <v>25</v>
      </c>
      <c r="I794" s="18" t="s">
        <v>26</v>
      </c>
      <c r="J794" s="15" t="n">
        <v>2024</v>
      </c>
      <c r="K794" s="19" t="s">
        <v>27</v>
      </c>
      <c r="L794" s="15" t="s">
        <v>28</v>
      </c>
      <c r="M794" s="15" t="s">
        <v>33</v>
      </c>
      <c r="N794" s="30"/>
      <c r="O794" s="60"/>
      <c r="P794" s="60"/>
      <c r="Q794" s="21"/>
      <c r="R794" s="21"/>
      <c r="S794" s="21"/>
      <c r="T794" s="31" t="n">
        <v>45880</v>
      </c>
      <c r="U794" s="24"/>
    </row>
    <row r="795" s="25" customFormat="true" ht="41.4" hidden="false" customHeight="false" outlineLevel="0" collapsed="false">
      <c r="A795" s="36" t="s">
        <v>1882</v>
      </c>
      <c r="B795" s="26" t="s">
        <v>1883</v>
      </c>
      <c r="C795" s="14"/>
      <c r="D795" s="15" t="n">
        <v>4</v>
      </c>
      <c r="E795" s="27" t="n">
        <f aca="false">F795/2</f>
        <v>2200</v>
      </c>
      <c r="F795" s="16" t="n">
        <v>4400</v>
      </c>
      <c r="G795" s="15" t="s">
        <v>36</v>
      </c>
      <c r="H795" s="17" t="s">
        <v>25</v>
      </c>
      <c r="I795" s="18" t="s">
        <v>26</v>
      </c>
      <c r="J795" s="15" t="n">
        <v>2019</v>
      </c>
      <c r="K795" s="19" t="s">
        <v>27</v>
      </c>
      <c r="L795" s="15" t="s">
        <v>28</v>
      </c>
      <c r="M795" s="15" t="s">
        <v>33</v>
      </c>
      <c r="N795" s="17" t="s">
        <v>126</v>
      </c>
      <c r="O795" s="15"/>
      <c r="P795" s="15"/>
      <c r="Q795" s="21" t="s">
        <v>78</v>
      </c>
      <c r="R795" s="21"/>
      <c r="S795" s="21"/>
      <c r="T795" s="28"/>
      <c r="U795" s="24"/>
    </row>
    <row r="796" s="25" customFormat="true" ht="41.4" hidden="false" customHeight="false" outlineLevel="0" collapsed="false">
      <c r="A796" s="36" t="s">
        <v>1884</v>
      </c>
      <c r="B796" s="26" t="s">
        <v>1885</v>
      </c>
      <c r="C796" s="14"/>
      <c r="D796" s="15" t="n">
        <v>4</v>
      </c>
      <c r="E796" s="27" t="n">
        <f aca="false">F796/2</f>
        <v>50</v>
      </c>
      <c r="F796" s="16" t="n">
        <v>100</v>
      </c>
      <c r="G796" s="15" t="s">
        <v>354</v>
      </c>
      <c r="H796" s="17" t="s">
        <v>25</v>
      </c>
      <c r="I796" s="18" t="s">
        <v>26</v>
      </c>
      <c r="J796" s="15" t="n">
        <v>2014</v>
      </c>
      <c r="K796" s="19" t="s">
        <v>27</v>
      </c>
      <c r="L796" s="15" t="s">
        <v>28</v>
      </c>
      <c r="M796" s="15" t="s">
        <v>33</v>
      </c>
      <c r="N796" s="17" t="s">
        <v>167</v>
      </c>
      <c r="O796" s="15" t="s">
        <v>54</v>
      </c>
      <c r="P796" s="15"/>
      <c r="Q796" s="21" t="s">
        <v>168</v>
      </c>
      <c r="R796" s="21"/>
      <c r="S796" s="21"/>
      <c r="T796" s="28"/>
      <c r="U796" s="24"/>
    </row>
    <row r="797" s="25" customFormat="true" ht="41.4" hidden="false" customHeight="false" outlineLevel="0" collapsed="false">
      <c r="A797" s="36" t="s">
        <v>1886</v>
      </c>
      <c r="B797" s="26" t="s">
        <v>1887</v>
      </c>
      <c r="C797" s="14" t="s">
        <v>76</v>
      </c>
      <c r="D797" s="15" t="n">
        <v>12</v>
      </c>
      <c r="E797" s="27" t="n">
        <f aca="false">F797/2</f>
        <v>25515</v>
      </c>
      <c r="F797" s="16" t="n">
        <f aca="false">68040*0.75</f>
        <v>51030</v>
      </c>
      <c r="G797" s="15" t="s">
        <v>36</v>
      </c>
      <c r="H797" s="17" t="s">
        <v>25</v>
      </c>
      <c r="I797" s="18" t="s">
        <v>26</v>
      </c>
      <c r="J797" s="15" t="n">
        <v>2014</v>
      </c>
      <c r="K797" s="19" t="s">
        <v>27</v>
      </c>
      <c r="L797" s="15" t="s">
        <v>28</v>
      </c>
      <c r="M797" s="15" t="s">
        <v>33</v>
      </c>
      <c r="N797" s="17" t="s">
        <v>77</v>
      </c>
      <c r="O797" s="15"/>
      <c r="P797" s="15"/>
      <c r="Q797" s="21" t="s">
        <v>78</v>
      </c>
      <c r="R797" s="21" t="s">
        <v>79</v>
      </c>
      <c r="S797" s="21"/>
      <c r="T797" s="31" t="n">
        <v>45852</v>
      </c>
      <c r="U797" s="24"/>
    </row>
    <row r="798" s="25" customFormat="true" ht="41.4" hidden="false" customHeight="false" outlineLevel="0" collapsed="false">
      <c r="A798" s="36" t="s">
        <v>1888</v>
      </c>
      <c r="B798" s="26"/>
      <c r="C798" s="14" t="s">
        <v>625</v>
      </c>
      <c r="D798" s="15" t="n">
        <v>12</v>
      </c>
      <c r="E798" s="27" t="n">
        <v>46332</v>
      </c>
      <c r="F798" s="16" t="n">
        <f aca="false">E798*2</f>
        <v>92664</v>
      </c>
      <c r="G798" s="15" t="s">
        <v>36</v>
      </c>
      <c r="H798" s="17" t="s">
        <v>25</v>
      </c>
      <c r="I798" s="18" t="s">
        <v>26</v>
      </c>
      <c r="J798" s="15" t="n">
        <v>2023</v>
      </c>
      <c r="K798" s="19" t="s">
        <v>27</v>
      </c>
      <c r="L798" s="15" t="s">
        <v>28</v>
      </c>
      <c r="M798" s="15" t="s">
        <v>33</v>
      </c>
      <c r="N798" s="20"/>
      <c r="O798" s="15"/>
      <c r="P798" s="15"/>
      <c r="Q798" s="21"/>
      <c r="R798" s="21"/>
      <c r="S798" s="21"/>
      <c r="T798" s="31" t="n">
        <v>45893</v>
      </c>
      <c r="U798" s="34"/>
    </row>
    <row r="799" s="25" customFormat="true" ht="41.4" hidden="false" customHeight="false" outlineLevel="0" collapsed="false">
      <c r="A799" s="36" t="s">
        <v>1889</v>
      </c>
      <c r="B799" s="26"/>
      <c r="C799" s="14" t="s">
        <v>197</v>
      </c>
      <c r="D799" s="15" t="n">
        <v>6</v>
      </c>
      <c r="E799" s="16" t="n">
        <f aca="false">F799/2</f>
        <v>1125</v>
      </c>
      <c r="F799" s="16" t="n">
        <v>2250</v>
      </c>
      <c r="G799" s="15" t="s">
        <v>36</v>
      </c>
      <c r="H799" s="17" t="s">
        <v>25</v>
      </c>
      <c r="I799" s="18" t="s">
        <v>26</v>
      </c>
      <c r="J799" s="15" t="n">
        <v>2025</v>
      </c>
      <c r="K799" s="19" t="s">
        <v>27</v>
      </c>
      <c r="L799" s="15" t="s">
        <v>28</v>
      </c>
      <c r="M799" s="15" t="s">
        <v>33</v>
      </c>
      <c r="N799" s="17"/>
      <c r="O799" s="15"/>
      <c r="P799" s="15"/>
      <c r="Q799" s="21"/>
      <c r="R799" s="21"/>
      <c r="S799" s="21"/>
      <c r="T799" s="28"/>
      <c r="U799" s="24"/>
    </row>
    <row r="800" s="25" customFormat="true" ht="41.4" hidden="false" customHeight="false" outlineLevel="0" collapsed="false">
      <c r="A800" s="36" t="s">
        <v>1890</v>
      </c>
      <c r="B800" s="26"/>
      <c r="C800" s="14" t="s">
        <v>199</v>
      </c>
      <c r="D800" s="15" t="n">
        <v>4</v>
      </c>
      <c r="E800" s="27" t="n">
        <f aca="false">F800/2</f>
        <v>312</v>
      </c>
      <c r="F800" s="16" t="n">
        <f aca="false">520*1.2</f>
        <v>624</v>
      </c>
      <c r="G800" s="15" t="s">
        <v>36</v>
      </c>
      <c r="H800" s="17" t="s">
        <v>25</v>
      </c>
      <c r="I800" s="18" t="s">
        <v>26</v>
      </c>
      <c r="J800" s="15" t="n">
        <v>2024</v>
      </c>
      <c r="K800" s="19" t="s">
        <v>65</v>
      </c>
      <c r="L800" s="15" t="s">
        <v>28</v>
      </c>
      <c r="M800" s="15" t="s">
        <v>33</v>
      </c>
      <c r="N800" s="17"/>
      <c r="O800" s="15"/>
      <c r="P800" s="15"/>
      <c r="Q800" s="21"/>
      <c r="R800" s="21"/>
      <c r="S800" s="21"/>
      <c r="T800" s="28"/>
      <c r="U800" s="24"/>
    </row>
    <row r="801" s="25" customFormat="true" ht="41.4" hidden="false" customHeight="false" outlineLevel="0" collapsed="false">
      <c r="A801" s="36" t="s">
        <v>1891</v>
      </c>
      <c r="B801" s="26"/>
      <c r="C801" s="14" t="s">
        <v>640</v>
      </c>
      <c r="D801" s="15" t="n">
        <v>4</v>
      </c>
      <c r="E801" s="27" t="n">
        <f aca="false">F801/2</f>
        <v>50</v>
      </c>
      <c r="F801" s="16" t="n">
        <v>100</v>
      </c>
      <c r="G801" s="15" t="s">
        <v>36</v>
      </c>
      <c r="H801" s="17" t="s">
        <v>25</v>
      </c>
      <c r="I801" s="18" t="s">
        <v>26</v>
      </c>
      <c r="J801" s="15" t="n">
        <v>2019</v>
      </c>
      <c r="K801" s="19" t="s">
        <v>27</v>
      </c>
      <c r="L801" s="15" t="s">
        <v>28</v>
      </c>
      <c r="M801" s="15" t="s">
        <v>33</v>
      </c>
      <c r="N801" s="20"/>
      <c r="O801" s="15"/>
      <c r="P801" s="15"/>
      <c r="Q801" s="21"/>
      <c r="R801" s="21"/>
      <c r="S801" s="21"/>
      <c r="T801" s="28"/>
      <c r="U801" s="34"/>
    </row>
    <row r="802" s="25" customFormat="true" ht="41.4" hidden="false" customHeight="false" outlineLevel="0" collapsed="false">
      <c r="A802" s="36" t="s">
        <v>1892</v>
      </c>
      <c r="B802" s="26" t="s">
        <v>1893</v>
      </c>
      <c r="C802" s="14" t="s">
        <v>246</v>
      </c>
      <c r="D802" s="15" t="n">
        <v>12</v>
      </c>
      <c r="E802" s="27" t="n">
        <f aca="false">F802/2</f>
        <v>30768</v>
      </c>
      <c r="F802" s="38" t="n">
        <v>61536</v>
      </c>
      <c r="G802" s="15" t="s">
        <v>36</v>
      </c>
      <c r="H802" s="17" t="s">
        <v>25</v>
      </c>
      <c r="I802" s="18" t="s">
        <v>26</v>
      </c>
      <c r="J802" s="15" t="n">
        <v>2017</v>
      </c>
      <c r="K802" s="19" t="s">
        <v>27</v>
      </c>
      <c r="L802" s="15" t="s">
        <v>28</v>
      </c>
      <c r="M802" s="15" t="s">
        <v>33</v>
      </c>
      <c r="N802" s="20" t="s">
        <v>87</v>
      </c>
      <c r="O802" s="15"/>
      <c r="P802" s="15"/>
      <c r="Q802" s="21" t="s">
        <v>247</v>
      </c>
      <c r="R802" s="21"/>
      <c r="S802" s="21"/>
      <c r="T802" s="31" t="n">
        <v>45882</v>
      </c>
      <c r="U802" s="24" t="s">
        <v>248</v>
      </c>
    </row>
    <row r="803" s="25" customFormat="true" ht="41.4" hidden="false" customHeight="false" outlineLevel="0" collapsed="false">
      <c r="A803" s="63" t="s">
        <v>1894</v>
      </c>
      <c r="B803" s="26"/>
      <c r="C803" s="14" t="s">
        <v>264</v>
      </c>
      <c r="D803" s="30" t="n">
        <v>12</v>
      </c>
      <c r="E803" s="16" t="n">
        <f aca="false">F803/2</f>
        <v>47709</v>
      </c>
      <c r="F803" s="16" t="n">
        <f aca="false">102600*0.93</f>
        <v>95418</v>
      </c>
      <c r="G803" s="15" t="s">
        <v>36</v>
      </c>
      <c r="H803" s="17" t="s">
        <v>25</v>
      </c>
      <c r="I803" s="18" t="s">
        <v>26</v>
      </c>
      <c r="J803" s="15" t="n">
        <v>2024</v>
      </c>
      <c r="K803" s="19" t="s">
        <v>27</v>
      </c>
      <c r="L803" s="15" t="s">
        <v>28</v>
      </c>
      <c r="M803" s="15" t="s">
        <v>33</v>
      </c>
      <c r="N803" s="17" t="s">
        <v>270</v>
      </c>
      <c r="O803" s="60"/>
      <c r="P803" s="60"/>
      <c r="Q803" s="21"/>
      <c r="R803" s="21"/>
      <c r="S803" s="40"/>
      <c r="T803" s="31" t="n">
        <v>45880</v>
      </c>
      <c r="U803" s="41"/>
    </row>
    <row r="804" s="25" customFormat="true" ht="41.4" hidden="false" customHeight="false" outlineLevel="0" collapsed="false">
      <c r="A804" s="36" t="s">
        <v>1895</v>
      </c>
      <c r="B804" s="26"/>
      <c r="C804" s="14" t="s">
        <v>1088</v>
      </c>
      <c r="D804" s="15" t="n">
        <v>2</v>
      </c>
      <c r="E804" s="27" t="n">
        <f aca="false">F804/2</f>
        <v>2730</v>
      </c>
      <c r="F804" s="16" t="n">
        <v>5460</v>
      </c>
      <c r="G804" s="15" t="s">
        <v>36</v>
      </c>
      <c r="H804" s="17" t="s">
        <v>25</v>
      </c>
      <c r="I804" s="18" t="s">
        <v>26</v>
      </c>
      <c r="J804" s="15"/>
      <c r="K804" s="19" t="s">
        <v>27</v>
      </c>
      <c r="L804" s="15" t="s">
        <v>28</v>
      </c>
      <c r="M804" s="15" t="s">
        <v>33</v>
      </c>
      <c r="N804" s="20" t="s">
        <v>126</v>
      </c>
      <c r="O804" s="15"/>
      <c r="P804" s="15"/>
      <c r="Q804" s="21"/>
      <c r="R804" s="21"/>
      <c r="S804" s="21"/>
      <c r="T804" s="28"/>
      <c r="U804" s="34"/>
    </row>
    <row r="805" s="25" customFormat="true" ht="41.4" hidden="false" customHeight="false" outlineLevel="0" collapsed="false">
      <c r="A805" s="36" t="s">
        <v>1896</v>
      </c>
      <c r="B805" s="26" t="s">
        <v>1897</v>
      </c>
      <c r="C805" s="14" t="s">
        <v>246</v>
      </c>
      <c r="D805" s="15" t="n">
        <v>6</v>
      </c>
      <c r="E805" s="27" t="n">
        <f aca="false">F805/2</f>
        <v>11978.5</v>
      </c>
      <c r="F805" s="38" t="n">
        <v>23957</v>
      </c>
      <c r="G805" s="15" t="s">
        <v>36</v>
      </c>
      <c r="H805" s="17" t="s">
        <v>25</v>
      </c>
      <c r="I805" s="18" t="s">
        <v>26</v>
      </c>
      <c r="J805" s="15" t="n">
        <v>2017</v>
      </c>
      <c r="K805" s="19" t="s">
        <v>27</v>
      </c>
      <c r="L805" s="15" t="s">
        <v>28</v>
      </c>
      <c r="M805" s="15" t="s">
        <v>33</v>
      </c>
      <c r="N805" s="20"/>
      <c r="O805" s="15"/>
      <c r="P805" s="15"/>
      <c r="Q805" s="21" t="s">
        <v>247</v>
      </c>
      <c r="R805" s="21"/>
      <c r="S805" s="21"/>
      <c r="T805" s="31" t="n">
        <v>45882</v>
      </c>
      <c r="U805" s="24" t="s">
        <v>248</v>
      </c>
    </row>
    <row r="806" s="25" customFormat="true" ht="102.6" hidden="false" customHeight="false" outlineLevel="0" collapsed="false">
      <c r="A806" s="36" t="s">
        <v>1898</v>
      </c>
      <c r="B806" s="26" t="s">
        <v>1899</v>
      </c>
      <c r="C806" s="14"/>
      <c r="D806" s="15" t="n">
        <v>260</v>
      </c>
      <c r="E806" s="27" t="n">
        <f aca="false">5300/2</f>
        <v>2650</v>
      </c>
      <c r="F806" s="16" t="n">
        <v>5300</v>
      </c>
      <c r="G806" s="15" t="s">
        <v>354</v>
      </c>
      <c r="H806" s="17" t="s">
        <v>25</v>
      </c>
      <c r="I806" s="18" t="s">
        <v>26</v>
      </c>
      <c r="J806" s="15" t="n">
        <v>1992</v>
      </c>
      <c r="K806" s="19" t="s">
        <v>27</v>
      </c>
      <c r="L806" s="15" t="s">
        <v>103</v>
      </c>
      <c r="M806" s="15" t="s">
        <v>33</v>
      </c>
      <c r="N806" s="17" t="s">
        <v>40</v>
      </c>
      <c r="O806" s="15"/>
      <c r="P806" s="15"/>
      <c r="Q806" s="21" t="s">
        <v>41</v>
      </c>
      <c r="R806" s="21"/>
      <c r="S806" s="21"/>
      <c r="T806" s="28"/>
      <c r="U806" s="24" t="s">
        <v>1900</v>
      </c>
    </row>
    <row r="807" s="25" customFormat="true" ht="41.4" hidden="false" customHeight="false" outlineLevel="0" collapsed="false">
      <c r="A807" s="36" t="s">
        <v>1901</v>
      </c>
      <c r="B807" s="26" t="s">
        <v>1902</v>
      </c>
      <c r="C807" s="14" t="s">
        <v>327</v>
      </c>
      <c r="D807" s="15" t="n">
        <v>4</v>
      </c>
      <c r="E807" s="27" t="n">
        <f aca="false">F807/2</f>
        <v>3744</v>
      </c>
      <c r="F807" s="16" t="n">
        <f aca="false">6240*1.2</f>
        <v>7488</v>
      </c>
      <c r="G807" s="15" t="s">
        <v>36</v>
      </c>
      <c r="H807" s="17" t="s">
        <v>25</v>
      </c>
      <c r="I807" s="18" t="s">
        <v>26</v>
      </c>
      <c r="J807" s="15" t="n">
        <v>2017</v>
      </c>
      <c r="K807" s="19" t="s">
        <v>27</v>
      </c>
      <c r="L807" s="15" t="s">
        <v>28</v>
      </c>
      <c r="M807" s="15" t="s">
        <v>33</v>
      </c>
      <c r="N807" s="17" t="s">
        <v>83</v>
      </c>
      <c r="O807" s="15"/>
      <c r="P807" s="15"/>
      <c r="Q807" s="21" t="s">
        <v>302</v>
      </c>
      <c r="R807" s="21"/>
      <c r="S807" s="21"/>
      <c r="T807" s="31" t="n">
        <v>45925</v>
      </c>
      <c r="U807" s="24"/>
    </row>
    <row r="808" s="25" customFormat="true" ht="41.4" hidden="false" customHeight="false" outlineLevel="0" collapsed="false">
      <c r="A808" s="36" t="s">
        <v>1903</v>
      </c>
      <c r="B808" s="26"/>
      <c r="C808" s="14" t="s">
        <v>1904</v>
      </c>
      <c r="D808" s="15" t="n">
        <v>4</v>
      </c>
      <c r="E808" s="27" t="n">
        <f aca="false">F808/2</f>
        <v>50</v>
      </c>
      <c r="F808" s="16" t="n">
        <v>100</v>
      </c>
      <c r="G808" s="15" t="s">
        <v>36</v>
      </c>
      <c r="H808" s="17" t="s">
        <v>25</v>
      </c>
      <c r="I808" s="18" t="s">
        <v>26</v>
      </c>
      <c r="J808" s="15" t="n">
        <v>2018</v>
      </c>
      <c r="K808" s="19" t="s">
        <v>1905</v>
      </c>
      <c r="L808" s="15" t="s">
        <v>28</v>
      </c>
      <c r="M808" s="15" t="s">
        <v>33</v>
      </c>
      <c r="N808" s="17" t="s">
        <v>83</v>
      </c>
      <c r="O808" s="15"/>
      <c r="P808" s="15"/>
      <c r="Q808" s="21" t="s">
        <v>302</v>
      </c>
      <c r="R808" s="21"/>
      <c r="S808" s="21"/>
      <c r="T808" s="28"/>
      <c r="U808" s="24"/>
    </row>
    <row r="809" s="25" customFormat="true" ht="41.4" hidden="false" customHeight="false" outlineLevel="0" collapsed="false">
      <c r="A809" s="36" t="s">
        <v>1906</v>
      </c>
      <c r="B809" s="26" t="s">
        <v>1907</v>
      </c>
      <c r="C809" s="14" t="s">
        <v>955</v>
      </c>
      <c r="D809" s="15" t="n">
        <v>12</v>
      </c>
      <c r="E809" s="27" t="n">
        <f aca="false">F809/2</f>
        <v>4500</v>
      </c>
      <c r="F809" s="16" t="n">
        <v>9000</v>
      </c>
      <c r="G809" s="15" t="s">
        <v>36</v>
      </c>
      <c r="H809" s="17" t="s">
        <v>25</v>
      </c>
      <c r="I809" s="18" t="s">
        <v>26</v>
      </c>
      <c r="J809" s="15" t="n">
        <v>2014</v>
      </c>
      <c r="K809" s="19" t="s">
        <v>27</v>
      </c>
      <c r="L809" s="15" t="s">
        <v>28</v>
      </c>
      <c r="M809" s="15" t="s">
        <v>33</v>
      </c>
      <c r="N809" s="17" t="s">
        <v>53</v>
      </c>
      <c r="O809" s="15" t="s">
        <v>54</v>
      </c>
      <c r="P809" s="15"/>
      <c r="Q809" s="21" t="s">
        <v>55</v>
      </c>
      <c r="R809" s="21"/>
      <c r="S809" s="21"/>
      <c r="T809" s="28"/>
      <c r="U809" s="24"/>
    </row>
    <row r="810" s="25" customFormat="true" ht="41.4" hidden="false" customHeight="false" outlineLevel="0" collapsed="false">
      <c r="A810" s="36" t="s">
        <v>1908</v>
      </c>
      <c r="B810" s="26" t="s">
        <v>1909</v>
      </c>
      <c r="C810" s="14" t="s">
        <v>296</v>
      </c>
      <c r="D810" s="15" t="n">
        <v>4</v>
      </c>
      <c r="E810" s="27" t="n">
        <v>50</v>
      </c>
      <c r="F810" s="16" t="n">
        <v>100</v>
      </c>
      <c r="G810" s="15" t="s">
        <v>36</v>
      </c>
      <c r="H810" s="17" t="s">
        <v>25</v>
      </c>
      <c r="I810" s="18" t="s">
        <v>26</v>
      </c>
      <c r="J810" s="15"/>
      <c r="K810" s="19" t="s">
        <v>27</v>
      </c>
      <c r="L810" s="15" t="s">
        <v>28</v>
      </c>
      <c r="M810" s="15" t="s">
        <v>33</v>
      </c>
      <c r="N810" s="17"/>
      <c r="O810" s="15"/>
      <c r="P810" s="15"/>
      <c r="Q810" s="21" t="s">
        <v>78</v>
      </c>
      <c r="R810" s="21"/>
      <c r="S810" s="21"/>
      <c r="T810" s="28"/>
      <c r="U810" s="24"/>
    </row>
    <row r="811" s="25" customFormat="true" ht="41.4" hidden="false" customHeight="false" outlineLevel="0" collapsed="false">
      <c r="A811" s="36" t="s">
        <v>1910</v>
      </c>
      <c r="B811" s="26"/>
      <c r="C811" s="14" t="s">
        <v>404</v>
      </c>
      <c r="D811" s="15" t="n">
        <v>4</v>
      </c>
      <c r="E811" s="27" t="n">
        <f aca="false">F811/2</f>
        <v>3600</v>
      </c>
      <c r="F811" s="16" t="n">
        <v>7200</v>
      </c>
      <c r="G811" s="15" t="s">
        <v>36</v>
      </c>
      <c r="H811" s="17" t="s">
        <v>25</v>
      </c>
      <c r="I811" s="18" t="s">
        <v>26</v>
      </c>
      <c r="J811" s="15" t="n">
        <v>2023</v>
      </c>
      <c r="K811" s="19" t="s">
        <v>27</v>
      </c>
      <c r="L811" s="15" t="s">
        <v>28</v>
      </c>
      <c r="M811" s="15" t="s">
        <v>33</v>
      </c>
      <c r="N811" s="17" t="s">
        <v>72</v>
      </c>
      <c r="O811" s="15"/>
      <c r="P811" s="15"/>
      <c r="Q811" s="21"/>
      <c r="R811" s="21" t="s">
        <v>30</v>
      </c>
      <c r="S811" s="21"/>
      <c r="T811" s="31" t="n">
        <v>45848</v>
      </c>
      <c r="U811" s="24"/>
    </row>
    <row r="812" s="25" customFormat="true" ht="41.4" hidden="false" customHeight="false" outlineLevel="0" collapsed="false">
      <c r="A812" s="36" t="s">
        <v>1911</v>
      </c>
      <c r="B812" s="26" t="s">
        <v>1912</v>
      </c>
      <c r="C812" s="14" t="s">
        <v>86</v>
      </c>
      <c r="D812" s="15" t="n">
        <v>6</v>
      </c>
      <c r="E812" s="27" t="n">
        <f aca="false">F812/2</f>
        <v>5405</v>
      </c>
      <c r="F812" s="32" t="n">
        <v>10810</v>
      </c>
      <c r="G812" s="15" t="s">
        <v>24</v>
      </c>
      <c r="H812" s="17" t="s">
        <v>25</v>
      </c>
      <c r="I812" s="18" t="s">
        <v>26</v>
      </c>
      <c r="J812" s="15" t="n">
        <v>2017</v>
      </c>
      <c r="K812" s="19" t="s">
        <v>27</v>
      </c>
      <c r="L812" s="15" t="s">
        <v>28</v>
      </c>
      <c r="M812" s="15" t="s">
        <v>33</v>
      </c>
      <c r="N812" s="17"/>
      <c r="O812" s="15"/>
      <c r="P812" s="15"/>
      <c r="Q812" s="21" t="s">
        <v>78</v>
      </c>
      <c r="R812" s="21"/>
      <c r="S812" s="21"/>
      <c r="T812" s="31" t="n">
        <v>45882</v>
      </c>
      <c r="U812" s="24"/>
    </row>
    <row r="813" s="25" customFormat="true" ht="41.4" hidden="false" customHeight="false" outlineLevel="0" collapsed="false">
      <c r="A813" s="36" t="s">
        <v>1913</v>
      </c>
      <c r="B813" s="26" t="s">
        <v>1914</v>
      </c>
      <c r="C813" s="14" t="s">
        <v>246</v>
      </c>
      <c r="D813" s="15" t="n">
        <v>6</v>
      </c>
      <c r="E813" s="27" t="n">
        <f aca="false">F813/2</f>
        <v>12820</v>
      </c>
      <c r="F813" s="38" t="n">
        <v>25640</v>
      </c>
      <c r="G813" s="15" t="s">
        <v>36</v>
      </c>
      <c r="H813" s="17" t="s">
        <v>25</v>
      </c>
      <c r="I813" s="18" t="s">
        <v>26</v>
      </c>
      <c r="J813" s="15" t="n">
        <v>2017</v>
      </c>
      <c r="K813" s="19" t="s">
        <v>27</v>
      </c>
      <c r="L813" s="15" t="s">
        <v>28</v>
      </c>
      <c r="M813" s="15" t="s">
        <v>33</v>
      </c>
      <c r="N813" s="20"/>
      <c r="O813" s="15"/>
      <c r="P813" s="15"/>
      <c r="Q813" s="21" t="s">
        <v>247</v>
      </c>
      <c r="R813" s="21"/>
      <c r="S813" s="21"/>
      <c r="T813" s="31" t="n">
        <v>45882</v>
      </c>
      <c r="U813" s="24" t="s">
        <v>248</v>
      </c>
    </row>
    <row r="814" s="25" customFormat="true" ht="41.4" hidden="false" customHeight="false" outlineLevel="0" collapsed="false">
      <c r="A814" s="36" t="s">
        <v>1915</v>
      </c>
      <c r="B814" s="26"/>
      <c r="C814" s="14" t="s">
        <v>122</v>
      </c>
      <c r="D814" s="15" t="n">
        <v>12</v>
      </c>
      <c r="E814" s="27" t="n">
        <v>23628</v>
      </c>
      <c r="F814" s="16" t="n">
        <v>39204</v>
      </c>
      <c r="G814" s="15" t="s">
        <v>36</v>
      </c>
      <c r="H814" s="17" t="s">
        <v>25</v>
      </c>
      <c r="I814" s="18" t="s">
        <v>26</v>
      </c>
      <c r="J814" s="15" t="n">
        <v>2020</v>
      </c>
      <c r="K814" s="19" t="s">
        <v>27</v>
      </c>
      <c r="L814" s="15" t="s">
        <v>28</v>
      </c>
      <c r="M814" s="15" t="s">
        <v>33</v>
      </c>
      <c r="N814" s="20" t="s">
        <v>96</v>
      </c>
      <c r="O814" s="15"/>
      <c r="P814" s="15"/>
      <c r="Q814" s="21"/>
      <c r="R814" s="21"/>
      <c r="S814" s="21"/>
      <c r="T814" s="28"/>
      <c r="U814" s="34"/>
    </row>
    <row r="815" s="25" customFormat="true" ht="41.4" hidden="false" customHeight="false" outlineLevel="0" collapsed="false">
      <c r="A815" s="36" t="s">
        <v>1916</v>
      </c>
      <c r="B815" s="26"/>
      <c r="C815" s="14" t="s">
        <v>1917</v>
      </c>
      <c r="D815" s="15" t="n">
        <v>6</v>
      </c>
      <c r="E815" s="27" t="n">
        <f aca="false">F815/2</f>
        <v>3042</v>
      </c>
      <c r="F815" s="16" t="n">
        <f aca="false">5070*1.2</f>
        <v>6084</v>
      </c>
      <c r="G815" s="15" t="s">
        <v>36</v>
      </c>
      <c r="H815" s="17" t="s">
        <v>25</v>
      </c>
      <c r="I815" s="18" t="s">
        <v>26</v>
      </c>
      <c r="J815" s="15" t="n">
        <v>2023</v>
      </c>
      <c r="K815" s="19" t="s">
        <v>1918</v>
      </c>
      <c r="L815" s="15" t="s">
        <v>28</v>
      </c>
      <c r="M815" s="15" t="s">
        <v>33</v>
      </c>
      <c r="N815" s="17" t="s">
        <v>270</v>
      </c>
      <c r="O815" s="15" t="s">
        <v>46</v>
      </c>
      <c r="P815" s="15"/>
      <c r="Q815" s="21"/>
      <c r="R815" s="21"/>
      <c r="S815" s="21"/>
      <c r="T815" s="28"/>
      <c r="U815" s="24"/>
    </row>
    <row r="816" s="25" customFormat="true" ht="45.6" hidden="false" customHeight="false" outlineLevel="0" collapsed="false">
      <c r="A816" s="36" t="s">
        <v>1919</v>
      </c>
      <c r="B816" s="26" t="s">
        <v>1920</v>
      </c>
      <c r="C816" s="14" t="s">
        <v>1921</v>
      </c>
      <c r="D816" s="15" t="n">
        <v>12</v>
      </c>
      <c r="E816" s="27" t="n">
        <f aca="false">F816/2</f>
        <v>1543.5</v>
      </c>
      <c r="F816" s="16" t="n">
        <f aca="false">CEILING(2572*1.2,1)</f>
        <v>3087</v>
      </c>
      <c r="G816" s="15" t="s">
        <v>24</v>
      </c>
      <c r="H816" s="17" t="s">
        <v>25</v>
      </c>
      <c r="I816" s="18" t="s">
        <v>26</v>
      </c>
      <c r="J816" s="15" t="n">
        <v>2000</v>
      </c>
      <c r="K816" s="19" t="s">
        <v>27</v>
      </c>
      <c r="L816" s="15" t="s">
        <v>28</v>
      </c>
      <c r="M816" s="15" t="s">
        <v>33</v>
      </c>
      <c r="N816" s="17" t="s">
        <v>40</v>
      </c>
      <c r="O816" s="15"/>
      <c r="P816" s="15"/>
      <c r="Q816" s="21" t="s">
        <v>41</v>
      </c>
      <c r="R816" s="21"/>
      <c r="S816" s="21"/>
      <c r="T816" s="31" t="n">
        <v>45899</v>
      </c>
      <c r="U816" s="24" t="s">
        <v>1922</v>
      </c>
    </row>
    <row r="817" s="25" customFormat="true" ht="41.4" hidden="false" customHeight="false" outlineLevel="0" collapsed="false">
      <c r="A817" s="36" t="s">
        <v>1923</v>
      </c>
      <c r="B817" s="26"/>
      <c r="C817" s="14" t="s">
        <v>1924</v>
      </c>
      <c r="D817" s="15" t="n">
        <v>12</v>
      </c>
      <c r="E817" s="27" t="n">
        <f aca="false">F817/2</f>
        <v>16848</v>
      </c>
      <c r="F817" s="16" t="n">
        <f aca="false">28080*1.2</f>
        <v>33696</v>
      </c>
      <c r="G817" s="15" t="s">
        <v>36</v>
      </c>
      <c r="H817" s="17" t="s">
        <v>25</v>
      </c>
      <c r="I817" s="18" t="s">
        <v>26</v>
      </c>
      <c r="J817" s="15" t="n">
        <v>2023</v>
      </c>
      <c r="K817" s="19" t="s">
        <v>27</v>
      </c>
      <c r="L817" s="15" t="s">
        <v>28</v>
      </c>
      <c r="M817" s="15" t="s">
        <v>33</v>
      </c>
      <c r="N817" s="20" t="s">
        <v>126</v>
      </c>
      <c r="O817" s="15"/>
      <c r="P817" s="15"/>
      <c r="Q817" s="21"/>
      <c r="R817" s="21"/>
      <c r="S817" s="21"/>
      <c r="T817" s="28"/>
      <c r="U817" s="34"/>
    </row>
    <row r="818" s="25" customFormat="true" ht="41.4" hidden="false" customHeight="false" outlineLevel="0" collapsed="false">
      <c r="A818" s="36" t="s">
        <v>1925</v>
      </c>
      <c r="B818" s="26" t="s">
        <v>1926</v>
      </c>
      <c r="C818" s="14" t="s">
        <v>1927</v>
      </c>
      <c r="D818" s="15" t="n">
        <v>52</v>
      </c>
      <c r="E818" s="27" t="n">
        <f aca="false">F818/2</f>
        <v>495</v>
      </c>
      <c r="F818" s="16" t="n">
        <v>990</v>
      </c>
      <c r="G818" s="15" t="s">
        <v>24</v>
      </c>
      <c r="H818" s="17" t="s">
        <v>25</v>
      </c>
      <c r="I818" s="18" t="s">
        <v>26</v>
      </c>
      <c r="J818" s="15" t="n">
        <v>2003</v>
      </c>
      <c r="K818" s="19" t="s">
        <v>27</v>
      </c>
      <c r="L818" s="15" t="s">
        <v>103</v>
      </c>
      <c r="M818" s="15" t="s">
        <v>33</v>
      </c>
      <c r="N818" s="17" t="s">
        <v>343</v>
      </c>
      <c r="O818" s="15"/>
      <c r="P818" s="15"/>
      <c r="Q818" s="21" t="s">
        <v>344</v>
      </c>
      <c r="R818" s="21"/>
      <c r="S818" s="21"/>
      <c r="T818" s="31" t="n">
        <v>45899</v>
      </c>
      <c r="U818" s="24"/>
    </row>
    <row r="819" s="25" customFormat="true" ht="41.4" hidden="false" customHeight="false" outlineLevel="0" collapsed="false">
      <c r="A819" s="59" t="s">
        <v>1928</v>
      </c>
      <c r="B819" s="26"/>
      <c r="C819" s="14" t="s">
        <v>736</v>
      </c>
      <c r="D819" s="15" t="n">
        <v>4</v>
      </c>
      <c r="E819" s="27" t="n">
        <f aca="false">F819/2</f>
        <v>50</v>
      </c>
      <c r="F819" s="16" t="n">
        <v>100</v>
      </c>
      <c r="G819" s="15" t="s">
        <v>36</v>
      </c>
      <c r="H819" s="17" t="s">
        <v>25</v>
      </c>
      <c r="I819" s="18" t="s">
        <v>26</v>
      </c>
      <c r="J819" s="15" t="n">
        <v>2023</v>
      </c>
      <c r="K819" s="19" t="s">
        <v>27</v>
      </c>
      <c r="L819" s="15" t="s">
        <v>28</v>
      </c>
      <c r="M819" s="15" t="s">
        <v>33</v>
      </c>
      <c r="N819" s="17"/>
      <c r="O819" s="15"/>
      <c r="P819" s="15"/>
      <c r="Q819" s="21"/>
      <c r="R819" s="21"/>
      <c r="S819" s="21"/>
      <c r="T819" s="28"/>
      <c r="U819" s="24"/>
    </row>
    <row r="820" s="25" customFormat="true" ht="41.4" hidden="false" customHeight="false" outlineLevel="0" collapsed="false">
      <c r="A820" s="36" t="s">
        <v>1929</v>
      </c>
      <c r="B820" s="26" t="s">
        <v>1930</v>
      </c>
      <c r="C820" s="14"/>
      <c r="D820" s="15" t="n">
        <v>4</v>
      </c>
      <c r="E820" s="27" t="n">
        <f aca="false">F820/2</f>
        <v>50</v>
      </c>
      <c r="F820" s="16" t="n">
        <v>100</v>
      </c>
      <c r="G820" s="15" t="s">
        <v>354</v>
      </c>
      <c r="H820" s="17" t="s">
        <v>25</v>
      </c>
      <c r="I820" s="18" t="s">
        <v>26</v>
      </c>
      <c r="J820" s="15" t="n">
        <v>2014</v>
      </c>
      <c r="K820" s="19" t="s">
        <v>27</v>
      </c>
      <c r="L820" s="15" t="s">
        <v>28</v>
      </c>
      <c r="M820" s="15" t="s">
        <v>33</v>
      </c>
      <c r="N820" s="17" t="s">
        <v>167</v>
      </c>
      <c r="O820" s="15"/>
      <c r="P820" s="15"/>
      <c r="Q820" s="21" t="s">
        <v>168</v>
      </c>
      <c r="R820" s="21"/>
      <c r="S820" s="21"/>
      <c r="T820" s="28"/>
      <c r="U820" s="24"/>
    </row>
    <row r="821" s="25" customFormat="true" ht="41.4" hidden="false" customHeight="false" outlineLevel="0" collapsed="false">
      <c r="A821" s="36" t="s">
        <v>1931</v>
      </c>
      <c r="B821" s="26"/>
      <c r="C821" s="14" t="s">
        <v>197</v>
      </c>
      <c r="D821" s="15" t="n">
        <v>4</v>
      </c>
      <c r="E821" s="16" t="n">
        <f aca="false">F821/2</f>
        <v>1375</v>
      </c>
      <c r="F821" s="16" t="n">
        <v>2750</v>
      </c>
      <c r="G821" s="15" t="s">
        <v>36</v>
      </c>
      <c r="H821" s="17" t="s">
        <v>25</v>
      </c>
      <c r="I821" s="18" t="s">
        <v>26</v>
      </c>
      <c r="J821" s="15" t="n">
        <v>2025</v>
      </c>
      <c r="K821" s="19" t="s">
        <v>27</v>
      </c>
      <c r="L821" s="15" t="s">
        <v>28</v>
      </c>
      <c r="M821" s="15" t="s">
        <v>33</v>
      </c>
      <c r="N821" s="17"/>
      <c r="O821" s="15"/>
      <c r="P821" s="15"/>
      <c r="Q821" s="21"/>
      <c r="R821" s="21"/>
      <c r="S821" s="21"/>
      <c r="T821" s="28"/>
      <c r="U821" s="24"/>
    </row>
    <row r="822" s="25" customFormat="true" ht="41.4" hidden="false" customHeight="false" outlineLevel="0" collapsed="false">
      <c r="A822" s="36" t="s">
        <v>1932</v>
      </c>
      <c r="B822" s="26" t="s">
        <v>1933</v>
      </c>
      <c r="C822" s="14" t="s">
        <v>1324</v>
      </c>
      <c r="D822" s="15" t="n">
        <v>4</v>
      </c>
      <c r="E822" s="27" t="n">
        <f aca="false">F822/2</f>
        <v>360</v>
      </c>
      <c r="F822" s="16" t="n">
        <v>720</v>
      </c>
      <c r="G822" s="15" t="s">
        <v>36</v>
      </c>
      <c r="H822" s="17" t="s">
        <v>25</v>
      </c>
      <c r="I822" s="18" t="s">
        <v>26</v>
      </c>
      <c r="J822" s="15" t="n">
        <v>2014</v>
      </c>
      <c r="K822" s="19" t="s">
        <v>1325</v>
      </c>
      <c r="L822" s="15" t="s">
        <v>28</v>
      </c>
      <c r="M822" s="15" t="s">
        <v>33</v>
      </c>
      <c r="N822" s="17" t="s">
        <v>83</v>
      </c>
      <c r="O822" s="15"/>
      <c r="P822" s="15"/>
      <c r="Q822" s="21" t="s">
        <v>302</v>
      </c>
      <c r="R822" s="21"/>
      <c r="S822" s="21"/>
      <c r="T822" s="28"/>
      <c r="U822" s="24"/>
    </row>
    <row r="823" s="25" customFormat="true" ht="41.4" hidden="false" customHeight="false" outlineLevel="0" collapsed="false">
      <c r="A823" s="36" t="s">
        <v>1934</v>
      </c>
      <c r="B823" s="26"/>
      <c r="C823" s="14" t="s">
        <v>1935</v>
      </c>
      <c r="D823" s="15" t="n">
        <v>4</v>
      </c>
      <c r="E823" s="27" t="n">
        <f aca="false">F823/2</f>
        <v>9425</v>
      </c>
      <c r="F823" s="16" t="n">
        <v>18850</v>
      </c>
      <c r="G823" s="15" t="s">
        <v>36</v>
      </c>
      <c r="H823" s="17" t="s">
        <v>25</v>
      </c>
      <c r="I823" s="18" t="s">
        <v>26</v>
      </c>
      <c r="J823" s="15" t="n">
        <v>2023</v>
      </c>
      <c r="K823" s="19" t="s">
        <v>27</v>
      </c>
      <c r="L823" s="15" t="s">
        <v>28</v>
      </c>
      <c r="M823" s="15" t="s">
        <v>33</v>
      </c>
      <c r="N823" s="20" t="s">
        <v>83</v>
      </c>
      <c r="O823" s="15"/>
      <c r="P823" s="15"/>
      <c r="Q823" s="21"/>
      <c r="R823" s="21"/>
      <c r="S823" s="21"/>
      <c r="T823" s="31" t="n">
        <v>45901</v>
      </c>
      <c r="U823" s="34"/>
    </row>
    <row r="824" s="25" customFormat="true" ht="41.4" hidden="false" customHeight="false" outlineLevel="0" collapsed="false">
      <c r="A824" s="36" t="s">
        <v>1936</v>
      </c>
      <c r="B824" s="26"/>
      <c r="C824" s="14" t="s">
        <v>1937</v>
      </c>
      <c r="D824" s="15" t="n">
        <v>6</v>
      </c>
      <c r="E824" s="16" t="n">
        <f aca="false">F824/2</f>
        <v>50</v>
      </c>
      <c r="F824" s="16" t="n">
        <v>100</v>
      </c>
      <c r="G824" s="15" t="s">
        <v>36</v>
      </c>
      <c r="H824" s="17" t="s">
        <v>25</v>
      </c>
      <c r="I824" s="18" t="s">
        <v>26</v>
      </c>
      <c r="J824" s="15" t="n">
        <v>2025</v>
      </c>
      <c r="K824" s="19" t="s">
        <v>27</v>
      </c>
      <c r="L824" s="15" t="s">
        <v>28</v>
      </c>
      <c r="M824" s="15" t="s">
        <v>33</v>
      </c>
      <c r="N824" s="17"/>
      <c r="O824" s="15"/>
      <c r="P824" s="15"/>
      <c r="Q824" s="21"/>
      <c r="R824" s="21"/>
      <c r="S824" s="21"/>
      <c r="T824" s="28"/>
      <c r="U824" s="24"/>
    </row>
    <row r="825" s="25" customFormat="true" ht="41.4" hidden="false" customHeight="false" outlineLevel="0" collapsed="false">
      <c r="A825" s="36" t="s">
        <v>1938</v>
      </c>
      <c r="B825" s="26" t="s">
        <v>1939</v>
      </c>
      <c r="C825" s="14" t="s">
        <v>148</v>
      </c>
      <c r="D825" s="15" t="n">
        <v>6</v>
      </c>
      <c r="E825" s="27" t="n">
        <f aca="false">F825/2</f>
        <v>2221</v>
      </c>
      <c r="F825" s="35" t="n">
        <f aca="false">FLOOR(3702*1.2,1)</f>
        <v>4442</v>
      </c>
      <c r="G825" s="15" t="s">
        <v>36</v>
      </c>
      <c r="H825" s="17" t="s">
        <v>25</v>
      </c>
      <c r="I825" s="18" t="s">
        <v>26</v>
      </c>
      <c r="J825" s="15" t="n">
        <v>2020</v>
      </c>
      <c r="K825" s="19" t="s">
        <v>27</v>
      </c>
      <c r="L825" s="15" t="s">
        <v>28</v>
      </c>
      <c r="M825" s="15" t="s">
        <v>33</v>
      </c>
      <c r="N825" s="17" t="s">
        <v>83</v>
      </c>
      <c r="O825" s="15"/>
      <c r="P825" s="15"/>
      <c r="Q825" s="21"/>
      <c r="R825" s="21"/>
      <c r="S825" s="21"/>
      <c r="T825" s="31" t="n">
        <v>45882</v>
      </c>
      <c r="U825" s="34"/>
    </row>
    <row r="826" s="25" customFormat="true" ht="41.4" hidden="false" customHeight="false" outlineLevel="0" collapsed="false">
      <c r="A826" s="36" t="s">
        <v>1940</v>
      </c>
      <c r="B826" s="26" t="s">
        <v>1941</v>
      </c>
      <c r="C826" s="14" t="s">
        <v>1942</v>
      </c>
      <c r="D826" s="15" t="n">
        <v>4</v>
      </c>
      <c r="E826" s="27" t="n">
        <v>728</v>
      </c>
      <c r="F826" s="16" t="n">
        <v>1456</v>
      </c>
      <c r="G826" s="15" t="s">
        <v>24</v>
      </c>
      <c r="H826" s="17" t="s">
        <v>25</v>
      </c>
      <c r="I826" s="18" t="s">
        <v>26</v>
      </c>
      <c r="J826" s="15" t="n">
        <v>2014</v>
      </c>
      <c r="K826" s="19" t="s">
        <v>27</v>
      </c>
      <c r="L826" s="15" t="s">
        <v>28</v>
      </c>
      <c r="M826" s="15" t="s">
        <v>33</v>
      </c>
      <c r="N826" s="17" t="s">
        <v>83</v>
      </c>
      <c r="O826" s="15" t="s">
        <v>54</v>
      </c>
      <c r="P826" s="15"/>
      <c r="Q826" s="21" t="s">
        <v>302</v>
      </c>
      <c r="R826" s="21"/>
      <c r="S826" s="21"/>
      <c r="T826" s="28"/>
      <c r="U826" s="24"/>
    </row>
    <row r="827" s="25" customFormat="true" ht="41.4" hidden="false" customHeight="false" outlineLevel="0" collapsed="false">
      <c r="A827" s="59" t="s">
        <v>1943</v>
      </c>
      <c r="B827" s="30"/>
      <c r="C827" s="14" t="s">
        <v>1944</v>
      </c>
      <c r="D827" s="15" t="n">
        <v>10</v>
      </c>
      <c r="E827" s="16" t="n">
        <f aca="false">F827/2</f>
        <v>9360</v>
      </c>
      <c r="F827" s="16" t="n">
        <f aca="false">15600*1.2</f>
        <v>18720</v>
      </c>
      <c r="G827" s="15" t="s">
        <v>36</v>
      </c>
      <c r="H827" s="17" t="s">
        <v>25</v>
      </c>
      <c r="I827" s="18" t="s">
        <v>26</v>
      </c>
      <c r="J827" s="15" t="n">
        <v>2025</v>
      </c>
      <c r="K827" s="19" t="s">
        <v>27</v>
      </c>
      <c r="L827" s="15" t="s">
        <v>28</v>
      </c>
      <c r="M827" s="15" t="s">
        <v>33</v>
      </c>
      <c r="N827" s="17"/>
      <c r="O827" s="15"/>
      <c r="P827" s="15"/>
      <c r="Q827" s="21"/>
      <c r="R827" s="21"/>
      <c r="S827" s="40"/>
      <c r="T827" s="69"/>
      <c r="U827" s="24"/>
    </row>
    <row r="828" s="25" customFormat="true" ht="41.4" hidden="false" customHeight="false" outlineLevel="0" collapsed="false">
      <c r="A828" s="36" t="s">
        <v>1945</v>
      </c>
      <c r="B828" s="26" t="s">
        <v>1946</v>
      </c>
      <c r="C828" s="14" t="s">
        <v>122</v>
      </c>
      <c r="D828" s="15" t="n">
        <v>12</v>
      </c>
      <c r="E828" s="27" t="n">
        <v>23628</v>
      </c>
      <c r="F828" s="16" t="n">
        <v>39204</v>
      </c>
      <c r="G828" s="15" t="s">
        <v>36</v>
      </c>
      <c r="H828" s="17" t="s">
        <v>25</v>
      </c>
      <c r="I828" s="18" t="s">
        <v>26</v>
      </c>
      <c r="J828" s="15" t="n">
        <v>2017</v>
      </c>
      <c r="K828" s="19" t="s">
        <v>27</v>
      </c>
      <c r="L828" s="15" t="s">
        <v>28</v>
      </c>
      <c r="M828" s="15" t="s">
        <v>33</v>
      </c>
      <c r="N828" s="17" t="s">
        <v>375</v>
      </c>
      <c r="O828" s="15"/>
      <c r="P828" s="15"/>
      <c r="Q828" s="21"/>
      <c r="R828" s="21"/>
      <c r="S828" s="21"/>
      <c r="T828" s="28"/>
      <c r="U828" s="24"/>
    </row>
    <row r="829" s="25" customFormat="true" ht="41.4" hidden="false" customHeight="false" outlineLevel="0" collapsed="false">
      <c r="A829" s="36" t="s">
        <v>1947</v>
      </c>
      <c r="B829" s="26" t="s">
        <v>1948</v>
      </c>
      <c r="C829" s="14" t="s">
        <v>246</v>
      </c>
      <c r="D829" s="15" t="n">
        <v>12</v>
      </c>
      <c r="E829" s="27" t="n">
        <f aca="false">F829/2</f>
        <v>6700.5</v>
      </c>
      <c r="F829" s="38" t="n">
        <v>13401</v>
      </c>
      <c r="G829" s="15" t="s">
        <v>24</v>
      </c>
      <c r="H829" s="17" t="s">
        <v>25</v>
      </c>
      <c r="I829" s="18" t="s">
        <v>26</v>
      </c>
      <c r="J829" s="15" t="n">
        <v>2000</v>
      </c>
      <c r="K829" s="19" t="s">
        <v>27</v>
      </c>
      <c r="L829" s="15" t="s">
        <v>28</v>
      </c>
      <c r="M829" s="15" t="s">
        <v>33</v>
      </c>
      <c r="N829" s="17" t="s">
        <v>279</v>
      </c>
      <c r="O829" s="15"/>
      <c r="P829" s="15"/>
      <c r="Q829" s="21" t="s">
        <v>280</v>
      </c>
      <c r="R829" s="21"/>
      <c r="S829" s="21"/>
      <c r="T829" s="31" t="n">
        <v>45882</v>
      </c>
      <c r="U829" s="24" t="s">
        <v>1949</v>
      </c>
    </row>
    <row r="830" s="25" customFormat="true" ht="41.4" hidden="false" customHeight="false" outlineLevel="0" collapsed="false">
      <c r="A830" s="36" t="s">
        <v>1950</v>
      </c>
      <c r="B830" s="26" t="s">
        <v>1951</v>
      </c>
      <c r="C830" s="14" t="s">
        <v>213</v>
      </c>
      <c r="D830" s="15" t="n">
        <v>12</v>
      </c>
      <c r="E830" s="27" t="n">
        <f aca="false">F830/2</f>
        <v>1335</v>
      </c>
      <c r="F830" s="27" t="n">
        <v>2670</v>
      </c>
      <c r="G830" s="15" t="s">
        <v>36</v>
      </c>
      <c r="H830" s="17" t="s">
        <v>25</v>
      </c>
      <c r="I830" s="18" t="s">
        <v>26</v>
      </c>
      <c r="J830" s="15" t="n">
        <v>2013</v>
      </c>
      <c r="K830" s="19" t="s">
        <v>27</v>
      </c>
      <c r="L830" s="15" t="s">
        <v>28</v>
      </c>
      <c r="M830" s="15" t="s">
        <v>33</v>
      </c>
      <c r="N830" s="17" t="s">
        <v>214</v>
      </c>
      <c r="O830" s="15"/>
      <c r="P830" s="15"/>
      <c r="Q830" s="21" t="s">
        <v>215</v>
      </c>
      <c r="R830" s="21"/>
      <c r="S830" s="21"/>
      <c r="T830" s="28"/>
      <c r="U830" s="24"/>
    </row>
    <row r="831" s="25" customFormat="true" ht="41.4" hidden="false" customHeight="false" outlineLevel="0" collapsed="false">
      <c r="A831" s="36" t="s">
        <v>1952</v>
      </c>
      <c r="B831" s="26" t="s">
        <v>1953</v>
      </c>
      <c r="C831" s="14" t="s">
        <v>246</v>
      </c>
      <c r="D831" s="15" t="n">
        <v>4</v>
      </c>
      <c r="E831" s="27" t="n">
        <f aca="false">F831/2</f>
        <v>8261.5</v>
      </c>
      <c r="F831" s="38" t="n">
        <v>16523</v>
      </c>
      <c r="G831" s="15" t="s">
        <v>36</v>
      </c>
      <c r="H831" s="17" t="s">
        <v>25</v>
      </c>
      <c r="I831" s="18" t="s">
        <v>26</v>
      </c>
      <c r="J831" s="15" t="n">
        <v>2017</v>
      </c>
      <c r="K831" s="19" t="s">
        <v>27</v>
      </c>
      <c r="L831" s="15" t="s">
        <v>28</v>
      </c>
      <c r="M831" s="15" t="s">
        <v>33</v>
      </c>
      <c r="N831" s="20"/>
      <c r="O831" s="15"/>
      <c r="P831" s="15"/>
      <c r="Q831" s="21" t="s">
        <v>247</v>
      </c>
      <c r="R831" s="21"/>
      <c r="S831" s="21"/>
      <c r="T831" s="31" t="n">
        <v>45882</v>
      </c>
      <c r="U831" s="24" t="s">
        <v>248</v>
      </c>
    </row>
    <row r="832" s="25" customFormat="true" ht="41.4" hidden="false" customHeight="false" outlineLevel="0" collapsed="false">
      <c r="A832" s="36" t="s">
        <v>1954</v>
      </c>
      <c r="B832" s="26" t="s">
        <v>1955</v>
      </c>
      <c r="C832" s="14" t="s">
        <v>643</v>
      </c>
      <c r="D832" s="15" t="n">
        <v>6</v>
      </c>
      <c r="E832" s="27" t="n">
        <f aca="false">F832/2</f>
        <v>478</v>
      </c>
      <c r="F832" s="16" t="n">
        <v>956</v>
      </c>
      <c r="G832" s="15" t="s">
        <v>36</v>
      </c>
      <c r="H832" s="17" t="s">
        <v>25</v>
      </c>
      <c r="I832" s="18" t="s">
        <v>26</v>
      </c>
      <c r="J832" s="15" t="n">
        <v>2019</v>
      </c>
      <c r="K832" s="19" t="s">
        <v>27</v>
      </c>
      <c r="L832" s="15" t="s">
        <v>28</v>
      </c>
      <c r="M832" s="15" t="s">
        <v>33</v>
      </c>
      <c r="N832" s="17"/>
      <c r="O832" s="15" t="s">
        <v>203</v>
      </c>
      <c r="P832" s="15"/>
      <c r="Q832" s="21" t="s">
        <v>577</v>
      </c>
      <c r="R832" s="21"/>
      <c r="S832" s="21"/>
      <c r="T832" s="28"/>
      <c r="U832" s="24" t="s">
        <v>1956</v>
      </c>
    </row>
    <row r="833" s="25" customFormat="true" ht="41.4" hidden="false" customHeight="false" outlineLevel="0" collapsed="false">
      <c r="A833" s="36" t="s">
        <v>1957</v>
      </c>
      <c r="B833" s="26" t="s">
        <v>1958</v>
      </c>
      <c r="C833" s="14" t="s">
        <v>246</v>
      </c>
      <c r="D833" s="15" t="n">
        <v>6</v>
      </c>
      <c r="E833" s="27" t="n">
        <f aca="false">F833/2</f>
        <v>11208</v>
      </c>
      <c r="F833" s="38" t="n">
        <v>22416</v>
      </c>
      <c r="G833" s="15" t="s">
        <v>36</v>
      </c>
      <c r="H833" s="17" t="s">
        <v>25</v>
      </c>
      <c r="I833" s="18" t="s">
        <v>26</v>
      </c>
      <c r="J833" s="15" t="n">
        <v>2017</v>
      </c>
      <c r="K833" s="19" t="s">
        <v>27</v>
      </c>
      <c r="L833" s="15" t="s">
        <v>28</v>
      </c>
      <c r="M833" s="15" t="s">
        <v>33</v>
      </c>
      <c r="N833" s="20"/>
      <c r="O833" s="15"/>
      <c r="P833" s="15"/>
      <c r="Q833" s="21" t="s">
        <v>247</v>
      </c>
      <c r="R833" s="21"/>
      <c r="S833" s="21"/>
      <c r="T833" s="31" t="n">
        <v>45882</v>
      </c>
      <c r="U833" s="24" t="s">
        <v>248</v>
      </c>
    </row>
    <row r="834" s="25" customFormat="true" ht="41.4" hidden="false" customHeight="false" outlineLevel="0" collapsed="false">
      <c r="A834" s="36" t="s">
        <v>1959</v>
      </c>
      <c r="B834" s="26" t="s">
        <v>1960</v>
      </c>
      <c r="C834" s="14" t="s">
        <v>171</v>
      </c>
      <c r="D834" s="15" t="n">
        <v>12</v>
      </c>
      <c r="E834" s="27" t="n">
        <f aca="false">F834/2</f>
        <v>1518</v>
      </c>
      <c r="F834" s="16" t="n">
        <v>3036</v>
      </c>
      <c r="G834" s="15" t="s">
        <v>24</v>
      </c>
      <c r="H834" s="17" t="s">
        <v>25</v>
      </c>
      <c r="I834" s="18" t="s">
        <v>26</v>
      </c>
      <c r="J834" s="15" t="n">
        <v>2014</v>
      </c>
      <c r="K834" s="19" t="s">
        <v>27</v>
      </c>
      <c r="L834" s="15" t="s">
        <v>28</v>
      </c>
      <c r="M834" s="15" t="s">
        <v>33</v>
      </c>
      <c r="N834" s="17" t="s">
        <v>83</v>
      </c>
      <c r="O834" s="15"/>
      <c r="P834" s="15"/>
      <c r="Q834" s="21" t="s">
        <v>302</v>
      </c>
      <c r="R834" s="21"/>
      <c r="S834" s="21"/>
      <c r="T834" s="28"/>
      <c r="U834" s="24"/>
    </row>
    <row r="835" s="25" customFormat="true" ht="41.4" hidden="false" customHeight="false" outlineLevel="0" collapsed="false">
      <c r="A835" s="36" t="s">
        <v>1961</v>
      </c>
      <c r="B835" s="26" t="s">
        <v>1962</v>
      </c>
      <c r="C835" s="14" t="s">
        <v>390</v>
      </c>
      <c r="D835" s="15" t="n">
        <v>4</v>
      </c>
      <c r="E835" s="27" t="n">
        <f aca="false">F835/2</f>
        <v>880</v>
      </c>
      <c r="F835" s="16" t="n">
        <v>1760</v>
      </c>
      <c r="G835" s="15" t="s">
        <v>24</v>
      </c>
      <c r="H835" s="17" t="s">
        <v>25</v>
      </c>
      <c r="I835" s="18" t="s">
        <v>26</v>
      </c>
      <c r="J835" s="15" t="n">
        <v>2003</v>
      </c>
      <c r="K835" s="19" t="s">
        <v>27</v>
      </c>
      <c r="L835" s="15" t="s">
        <v>28</v>
      </c>
      <c r="M835" s="15" t="s">
        <v>33</v>
      </c>
      <c r="N835" s="17" t="s">
        <v>83</v>
      </c>
      <c r="O835" s="15"/>
      <c r="P835" s="15"/>
      <c r="Q835" s="21"/>
      <c r="R835" s="21"/>
      <c r="S835" s="21"/>
      <c r="T835" s="28"/>
      <c r="U835" s="24"/>
    </row>
    <row r="836" s="25" customFormat="true" ht="41.4" hidden="false" customHeight="false" outlineLevel="0" collapsed="false">
      <c r="A836" s="36" t="s">
        <v>1963</v>
      </c>
      <c r="B836" s="26" t="s">
        <v>1964</v>
      </c>
      <c r="C836" s="14" t="s">
        <v>1350</v>
      </c>
      <c r="D836" s="15" t="n">
        <v>4</v>
      </c>
      <c r="E836" s="27" t="n">
        <f aca="false">F836/2</f>
        <v>3600</v>
      </c>
      <c r="F836" s="16" t="n">
        <v>7200</v>
      </c>
      <c r="G836" s="15" t="s">
        <v>36</v>
      </c>
      <c r="H836" s="17" t="s">
        <v>25</v>
      </c>
      <c r="I836" s="18" t="s">
        <v>26</v>
      </c>
      <c r="J836" s="15" t="n">
        <v>2015</v>
      </c>
      <c r="K836" s="19" t="s">
        <v>27</v>
      </c>
      <c r="L836" s="15" t="s">
        <v>28</v>
      </c>
      <c r="M836" s="15" t="s">
        <v>33</v>
      </c>
      <c r="N836" s="17" t="s">
        <v>1019</v>
      </c>
      <c r="O836" s="15"/>
      <c r="P836" s="15"/>
      <c r="Q836" s="21" t="s">
        <v>55</v>
      </c>
      <c r="R836" s="21"/>
      <c r="S836" s="21"/>
      <c r="T836" s="28"/>
      <c r="U836" s="24"/>
    </row>
    <row r="837" s="25" customFormat="true" ht="41.4" hidden="false" customHeight="false" outlineLevel="0" collapsed="false">
      <c r="A837" s="64" t="s">
        <v>1965</v>
      </c>
      <c r="B837" s="26"/>
      <c r="C837" s="14" t="s">
        <v>264</v>
      </c>
      <c r="D837" s="30" t="n">
        <v>6</v>
      </c>
      <c r="E837" s="27" t="n">
        <f aca="false">F837/2</f>
        <v>28307.34</v>
      </c>
      <c r="F837" s="16" t="n">
        <f aca="false">60876*0.93</f>
        <v>56614.68</v>
      </c>
      <c r="G837" s="15" t="s">
        <v>36</v>
      </c>
      <c r="H837" s="17" t="s">
        <v>25</v>
      </c>
      <c r="I837" s="18" t="s">
        <v>26</v>
      </c>
      <c r="J837" s="15" t="n">
        <v>2024</v>
      </c>
      <c r="K837" s="19" t="s">
        <v>27</v>
      </c>
      <c r="L837" s="15" t="s">
        <v>28</v>
      </c>
      <c r="M837" s="15" t="s">
        <v>33</v>
      </c>
      <c r="N837" s="17"/>
      <c r="O837" s="60"/>
      <c r="P837" s="60"/>
      <c r="Q837" s="21"/>
      <c r="R837" s="21"/>
      <c r="S837" s="21"/>
      <c r="T837" s="31" t="n">
        <v>45880</v>
      </c>
      <c r="U837" s="24"/>
    </row>
    <row r="838" s="25" customFormat="true" ht="41.4" hidden="false" customHeight="false" outlineLevel="0" collapsed="false">
      <c r="A838" s="63" t="s">
        <v>1966</v>
      </c>
      <c r="B838" s="26"/>
      <c r="C838" s="72" t="s">
        <v>264</v>
      </c>
      <c r="D838" s="30" t="n">
        <v>6</v>
      </c>
      <c r="E838" s="16" t="n">
        <f aca="false">F838/2</f>
        <v>23536.44</v>
      </c>
      <c r="F838" s="16" t="n">
        <f aca="false">50616*0.93</f>
        <v>47072.88</v>
      </c>
      <c r="G838" s="15" t="s">
        <v>36</v>
      </c>
      <c r="H838" s="17" t="s">
        <v>25</v>
      </c>
      <c r="I838" s="18" t="s">
        <v>26</v>
      </c>
      <c r="J838" s="15" t="n">
        <v>2024</v>
      </c>
      <c r="K838" s="19" t="s">
        <v>27</v>
      </c>
      <c r="L838" s="15" t="s">
        <v>28</v>
      </c>
      <c r="M838" s="15" t="s">
        <v>33</v>
      </c>
      <c r="N838" s="30"/>
      <c r="O838" s="60"/>
      <c r="P838" s="60"/>
      <c r="Q838" s="21"/>
      <c r="R838" s="21"/>
      <c r="S838" s="40"/>
      <c r="T838" s="31" t="n">
        <v>45880</v>
      </c>
      <c r="U838" s="41"/>
    </row>
    <row r="839" s="25" customFormat="true" ht="41.4" hidden="false" customHeight="false" outlineLevel="0" collapsed="false">
      <c r="A839" s="66" t="s">
        <v>1967</v>
      </c>
      <c r="B839" s="26" t="s">
        <v>1968</v>
      </c>
      <c r="C839" s="14" t="s">
        <v>1969</v>
      </c>
      <c r="D839" s="30" t="n">
        <v>12</v>
      </c>
      <c r="E839" s="16" t="n">
        <f aca="false">F839/2</f>
        <v>9360</v>
      </c>
      <c r="F839" s="73" t="n">
        <f aca="false">15600*1.2</f>
        <v>18720</v>
      </c>
      <c r="G839" s="15" t="s">
        <v>36</v>
      </c>
      <c r="H839" s="17" t="s">
        <v>25</v>
      </c>
      <c r="I839" s="18" t="s">
        <v>26</v>
      </c>
      <c r="J839" s="15" t="n">
        <v>2014</v>
      </c>
      <c r="K839" s="19" t="s">
        <v>27</v>
      </c>
      <c r="L839" s="15" t="s">
        <v>28</v>
      </c>
      <c r="M839" s="15" t="s">
        <v>33</v>
      </c>
      <c r="N839" s="30"/>
      <c r="O839" s="60"/>
      <c r="P839" s="60"/>
      <c r="Q839" s="21"/>
      <c r="R839" s="21"/>
      <c r="S839" s="21"/>
      <c r="T839" s="31" t="n">
        <v>45880</v>
      </c>
      <c r="U839" s="24"/>
    </row>
    <row r="840" s="25" customFormat="true" ht="41.4" hidden="false" customHeight="false" outlineLevel="0" collapsed="false">
      <c r="A840" s="36" t="s">
        <v>1970</v>
      </c>
      <c r="B840" s="26" t="s">
        <v>1971</v>
      </c>
      <c r="C840" s="14" t="s">
        <v>182</v>
      </c>
      <c r="D840" s="15" t="n">
        <v>6</v>
      </c>
      <c r="E840" s="27" t="n">
        <f aca="false">F840/2</f>
        <v>1500</v>
      </c>
      <c r="F840" s="16" t="n">
        <v>3000</v>
      </c>
      <c r="G840" s="15" t="s">
        <v>36</v>
      </c>
      <c r="H840" s="17" t="s">
        <v>25</v>
      </c>
      <c r="I840" s="18" t="s">
        <v>26</v>
      </c>
      <c r="J840" s="15" t="n">
        <v>2014</v>
      </c>
      <c r="K840" s="19" t="s">
        <v>27</v>
      </c>
      <c r="L840" s="15" t="s">
        <v>28</v>
      </c>
      <c r="M840" s="15" t="s">
        <v>33</v>
      </c>
      <c r="N840" s="17" t="s">
        <v>45</v>
      </c>
      <c r="O840" s="15" t="s">
        <v>54</v>
      </c>
      <c r="P840" s="15"/>
      <c r="Q840" s="21" t="s">
        <v>1972</v>
      </c>
      <c r="R840" s="21"/>
      <c r="S840" s="21"/>
      <c r="T840" s="28"/>
      <c r="U840" s="24" t="s">
        <v>1973</v>
      </c>
    </row>
    <row r="841" s="25" customFormat="true" ht="41.4" hidden="false" customHeight="false" outlineLevel="0" collapsed="false">
      <c r="A841" s="36" t="s">
        <v>1974</v>
      </c>
      <c r="B841" s="26"/>
      <c r="C841" s="14" t="s">
        <v>202</v>
      </c>
      <c r="D841" s="15" t="n">
        <v>2</v>
      </c>
      <c r="E841" s="27" t="n">
        <f aca="false">F841/2</f>
        <v>50</v>
      </c>
      <c r="F841" s="16" t="n">
        <v>100</v>
      </c>
      <c r="G841" s="15" t="s">
        <v>36</v>
      </c>
      <c r="H841" s="17" t="s">
        <v>25</v>
      </c>
      <c r="I841" s="18" t="s">
        <v>26</v>
      </c>
      <c r="J841" s="17" t="n">
        <v>2021</v>
      </c>
      <c r="K841" s="19" t="s">
        <v>27</v>
      </c>
      <c r="L841" s="15" t="s">
        <v>28</v>
      </c>
      <c r="M841" s="15" t="s">
        <v>33</v>
      </c>
      <c r="N841" s="20"/>
      <c r="O841" s="15"/>
      <c r="P841" s="15"/>
      <c r="Q841" s="21"/>
      <c r="R841" s="21"/>
      <c r="S841" s="21"/>
      <c r="T841" s="28"/>
      <c r="U841" s="34"/>
    </row>
    <row r="842" s="25" customFormat="true" ht="41.4" hidden="false" customHeight="false" outlineLevel="0" collapsed="false">
      <c r="A842" s="36" t="s">
        <v>1975</v>
      </c>
      <c r="B842" s="26" t="s">
        <v>1976</v>
      </c>
      <c r="C842" s="14" t="s">
        <v>1977</v>
      </c>
      <c r="D842" s="15" t="n">
        <v>52</v>
      </c>
      <c r="E842" s="27" t="n">
        <f aca="false">F842/2</f>
        <v>1600</v>
      </c>
      <c r="F842" s="16" t="n">
        <v>3200</v>
      </c>
      <c r="G842" s="15" t="s">
        <v>24</v>
      </c>
      <c r="H842" s="17" t="s">
        <v>25</v>
      </c>
      <c r="I842" s="18" t="s">
        <v>26</v>
      </c>
      <c r="J842" s="15" t="n">
        <v>1997</v>
      </c>
      <c r="K842" s="19" t="s">
        <v>27</v>
      </c>
      <c r="L842" s="15" t="s">
        <v>103</v>
      </c>
      <c r="M842" s="15" t="s">
        <v>33</v>
      </c>
      <c r="N842" s="17" t="s">
        <v>343</v>
      </c>
      <c r="O842" s="15"/>
      <c r="P842" s="15"/>
      <c r="Q842" s="21" t="s">
        <v>344</v>
      </c>
      <c r="R842" s="21"/>
      <c r="S842" s="21"/>
      <c r="T842" s="28" t="s">
        <v>1978</v>
      </c>
      <c r="U842" s="24" t="s">
        <v>1979</v>
      </c>
    </row>
    <row r="843" s="25" customFormat="true" ht="41.4" hidden="false" customHeight="false" outlineLevel="0" collapsed="false">
      <c r="A843" s="36" t="s">
        <v>1980</v>
      </c>
      <c r="B843" s="26" t="s">
        <v>1981</v>
      </c>
      <c r="C843" s="14" t="s">
        <v>1982</v>
      </c>
      <c r="D843" s="15" t="n">
        <v>52</v>
      </c>
      <c r="E843" s="27" t="n">
        <f aca="false">F843/2</f>
        <v>414</v>
      </c>
      <c r="F843" s="16" t="n">
        <v>828</v>
      </c>
      <c r="G843" s="15" t="s">
        <v>36</v>
      </c>
      <c r="H843" s="17" t="s">
        <v>25</v>
      </c>
      <c r="I843" s="18" t="s">
        <v>26</v>
      </c>
      <c r="J843" s="15" t="n">
        <v>2017</v>
      </c>
      <c r="K843" s="19" t="s">
        <v>27</v>
      </c>
      <c r="L843" s="15" t="s">
        <v>28</v>
      </c>
      <c r="M843" s="15" t="s">
        <v>33</v>
      </c>
      <c r="N843" s="20"/>
      <c r="O843" s="15"/>
      <c r="P843" s="15"/>
      <c r="Q843" s="21" t="s">
        <v>344</v>
      </c>
      <c r="R843" s="21"/>
      <c r="S843" s="21"/>
      <c r="T843" s="28"/>
      <c r="U843" s="34"/>
    </row>
    <row r="844" s="25" customFormat="true" ht="41.4" hidden="false" customHeight="false" outlineLevel="0" collapsed="false">
      <c r="A844" s="36" t="s">
        <v>1983</v>
      </c>
      <c r="B844" s="26" t="s">
        <v>1984</v>
      </c>
      <c r="C844" s="14" t="s">
        <v>197</v>
      </c>
      <c r="D844" s="15" t="n">
        <v>12</v>
      </c>
      <c r="E844" s="27" t="n">
        <f aca="false">F844/2</f>
        <v>4125</v>
      </c>
      <c r="F844" s="16" t="n">
        <v>8250</v>
      </c>
      <c r="G844" s="15" t="s">
        <v>36</v>
      </c>
      <c r="H844" s="17" t="s">
        <v>25</v>
      </c>
      <c r="I844" s="18" t="s">
        <v>26</v>
      </c>
      <c r="J844" s="15" t="n">
        <v>2020</v>
      </c>
      <c r="K844" s="19" t="s">
        <v>27</v>
      </c>
      <c r="L844" s="15" t="s">
        <v>28</v>
      </c>
      <c r="M844" s="15" t="s">
        <v>33</v>
      </c>
      <c r="N844" s="20"/>
      <c r="O844" s="15"/>
      <c r="P844" s="15"/>
      <c r="Q844" s="21"/>
      <c r="R844" s="21"/>
      <c r="S844" s="21"/>
      <c r="T844" s="28"/>
      <c r="U844" s="34"/>
    </row>
    <row r="845" s="25" customFormat="true" ht="41.4" hidden="false" customHeight="false" outlineLevel="0" collapsed="false">
      <c r="A845" s="36" t="s">
        <v>1985</v>
      </c>
      <c r="B845" s="26" t="s">
        <v>1986</v>
      </c>
      <c r="C845" s="14" t="s">
        <v>197</v>
      </c>
      <c r="D845" s="15" t="n">
        <v>4</v>
      </c>
      <c r="E845" s="27" t="n">
        <f aca="false">F845/2</f>
        <v>625</v>
      </c>
      <c r="F845" s="16" t="n">
        <v>1250</v>
      </c>
      <c r="G845" s="15" t="s">
        <v>36</v>
      </c>
      <c r="H845" s="17" t="s">
        <v>25</v>
      </c>
      <c r="I845" s="18" t="s">
        <v>26</v>
      </c>
      <c r="J845" s="15" t="n">
        <v>2020</v>
      </c>
      <c r="K845" s="19" t="s">
        <v>27</v>
      </c>
      <c r="L845" s="15" t="s">
        <v>28</v>
      </c>
      <c r="M845" s="15" t="s">
        <v>33</v>
      </c>
      <c r="N845" s="20"/>
      <c r="O845" s="15"/>
      <c r="P845" s="15"/>
      <c r="Q845" s="21"/>
      <c r="R845" s="21"/>
      <c r="S845" s="21"/>
      <c r="T845" s="28"/>
      <c r="U845" s="34"/>
    </row>
    <row r="846" s="25" customFormat="true" ht="41.4" hidden="false" customHeight="false" outlineLevel="0" collapsed="false">
      <c r="A846" s="36" t="s">
        <v>1987</v>
      </c>
      <c r="B846" s="26" t="s">
        <v>1988</v>
      </c>
      <c r="C846" s="14" t="s">
        <v>197</v>
      </c>
      <c r="D846" s="15" t="n">
        <v>4</v>
      </c>
      <c r="E846" s="27" t="n">
        <f aca="false">F846/2</f>
        <v>750</v>
      </c>
      <c r="F846" s="16" t="n">
        <v>1500</v>
      </c>
      <c r="G846" s="15" t="s">
        <v>36</v>
      </c>
      <c r="H846" s="17" t="s">
        <v>25</v>
      </c>
      <c r="I846" s="18" t="s">
        <v>26</v>
      </c>
      <c r="J846" s="15" t="n">
        <v>2020</v>
      </c>
      <c r="K846" s="19" t="s">
        <v>27</v>
      </c>
      <c r="L846" s="15" t="s">
        <v>28</v>
      </c>
      <c r="M846" s="15" t="s">
        <v>33</v>
      </c>
      <c r="N846" s="20"/>
      <c r="O846" s="15"/>
      <c r="P846" s="15"/>
      <c r="Q846" s="21"/>
      <c r="R846" s="21"/>
      <c r="S846" s="21"/>
      <c r="T846" s="28"/>
      <c r="U846" s="34"/>
    </row>
    <row r="847" s="25" customFormat="true" ht="41.4" hidden="false" customHeight="false" outlineLevel="0" collapsed="false">
      <c r="A847" s="36" t="s">
        <v>1989</v>
      </c>
      <c r="B847" s="26" t="s">
        <v>1990</v>
      </c>
      <c r="C847" s="14" t="s">
        <v>246</v>
      </c>
      <c r="D847" s="15" t="n">
        <v>6</v>
      </c>
      <c r="E847" s="27" t="n">
        <f aca="false">F847/2</f>
        <v>11667</v>
      </c>
      <c r="F847" s="38" t="n">
        <v>23334</v>
      </c>
      <c r="G847" s="15" t="s">
        <v>36</v>
      </c>
      <c r="H847" s="17" t="s">
        <v>25</v>
      </c>
      <c r="I847" s="18" t="s">
        <v>26</v>
      </c>
      <c r="J847" s="15" t="n">
        <v>2017</v>
      </c>
      <c r="K847" s="19" t="s">
        <v>27</v>
      </c>
      <c r="L847" s="15" t="s">
        <v>28</v>
      </c>
      <c r="M847" s="15" t="s">
        <v>33</v>
      </c>
      <c r="N847" s="17"/>
      <c r="O847" s="15"/>
      <c r="P847" s="15"/>
      <c r="Q847" s="21" t="s">
        <v>247</v>
      </c>
      <c r="R847" s="21"/>
      <c r="S847" s="21"/>
      <c r="T847" s="31" t="n">
        <v>45882</v>
      </c>
      <c r="U847" s="24" t="s">
        <v>248</v>
      </c>
    </row>
    <row r="848" s="25" customFormat="true" ht="41.4" hidden="false" customHeight="false" outlineLevel="0" collapsed="false">
      <c r="A848" s="36" t="s">
        <v>1991</v>
      </c>
      <c r="B848" s="26"/>
      <c r="C848" s="14" t="s">
        <v>1992</v>
      </c>
      <c r="D848" s="15" t="n">
        <v>4</v>
      </c>
      <c r="E848" s="16" t="n">
        <f aca="false">F848/2</f>
        <v>50</v>
      </c>
      <c r="F848" s="16" t="n">
        <v>100</v>
      </c>
      <c r="G848" s="15" t="s">
        <v>36</v>
      </c>
      <c r="H848" s="17" t="s">
        <v>25</v>
      </c>
      <c r="I848" s="18" t="s">
        <v>26</v>
      </c>
      <c r="J848" s="15" t="n">
        <v>2025</v>
      </c>
      <c r="K848" s="19" t="s">
        <v>1325</v>
      </c>
      <c r="L848" s="15" t="s">
        <v>28</v>
      </c>
      <c r="M848" s="15" t="s">
        <v>33</v>
      </c>
      <c r="N848" s="17"/>
      <c r="O848" s="15"/>
      <c r="P848" s="15"/>
      <c r="Q848" s="21"/>
      <c r="R848" s="21"/>
      <c r="S848" s="21" t="s">
        <v>113</v>
      </c>
      <c r="T848" s="31" t="n">
        <v>45855</v>
      </c>
      <c r="U848" s="24"/>
    </row>
    <row r="849" s="25" customFormat="true" ht="41.4" hidden="false" customHeight="false" outlineLevel="0" collapsed="false">
      <c r="A849" s="36" t="s">
        <v>1993</v>
      </c>
      <c r="B849" s="26"/>
      <c r="C849" s="14" t="s">
        <v>95</v>
      </c>
      <c r="D849" s="15" t="n">
        <v>4</v>
      </c>
      <c r="E849" s="27" t="n">
        <f aca="false">F849/2</f>
        <v>6240</v>
      </c>
      <c r="F849" s="16" t="n">
        <f aca="false">4*2600*1.2</f>
        <v>12480</v>
      </c>
      <c r="G849" s="15" t="s">
        <v>36</v>
      </c>
      <c r="H849" s="17" t="s">
        <v>25</v>
      </c>
      <c r="I849" s="18" t="s">
        <v>26</v>
      </c>
      <c r="J849" s="15" t="n">
        <v>2023</v>
      </c>
      <c r="K849" s="19" t="s">
        <v>27</v>
      </c>
      <c r="L849" s="15" t="s">
        <v>28</v>
      </c>
      <c r="M849" s="15" t="s">
        <v>33</v>
      </c>
      <c r="N849" s="17" t="s">
        <v>72</v>
      </c>
      <c r="O849" s="15"/>
      <c r="P849" s="15"/>
      <c r="Q849" s="21" t="s">
        <v>253</v>
      </c>
      <c r="R849" s="21"/>
      <c r="S849" s="21"/>
      <c r="T849" s="31" t="n">
        <v>45880</v>
      </c>
      <c r="U849" s="24"/>
    </row>
    <row r="850" s="25" customFormat="true" ht="41.4" hidden="false" customHeight="false" outlineLevel="0" collapsed="false">
      <c r="A850" s="36" t="s">
        <v>1994</v>
      </c>
      <c r="B850" s="26" t="s">
        <v>1995</v>
      </c>
      <c r="C850" s="14" t="s">
        <v>1996</v>
      </c>
      <c r="D850" s="15" t="n">
        <v>12</v>
      </c>
      <c r="E850" s="27" t="n">
        <f aca="false">F850/2</f>
        <v>11520</v>
      </c>
      <c r="F850" s="16" t="n">
        <f aca="false">19200*1.2</f>
        <v>23040</v>
      </c>
      <c r="G850" s="15" t="s">
        <v>36</v>
      </c>
      <c r="H850" s="17" t="s">
        <v>25</v>
      </c>
      <c r="I850" s="18" t="s">
        <v>26</v>
      </c>
      <c r="J850" s="15" t="n">
        <v>2022</v>
      </c>
      <c r="K850" s="19" t="s">
        <v>27</v>
      </c>
      <c r="L850" s="15" t="s">
        <v>28</v>
      </c>
      <c r="M850" s="15" t="s">
        <v>33</v>
      </c>
      <c r="N850" s="15" t="s">
        <v>1019</v>
      </c>
      <c r="O850" s="15"/>
      <c r="P850" s="15"/>
      <c r="Q850" s="21"/>
      <c r="R850" s="21"/>
      <c r="S850" s="21"/>
      <c r="T850" s="31" t="n">
        <v>45882</v>
      </c>
      <c r="U850" s="34"/>
    </row>
    <row r="851" s="25" customFormat="true" ht="41.4" hidden="false" customHeight="false" outlineLevel="0" collapsed="false">
      <c r="A851" s="36" t="s">
        <v>1997</v>
      </c>
      <c r="B851" s="26" t="s">
        <v>1998</v>
      </c>
      <c r="C851" s="14" t="s">
        <v>122</v>
      </c>
      <c r="D851" s="15" t="n">
        <v>12</v>
      </c>
      <c r="E851" s="27" t="n">
        <v>23628</v>
      </c>
      <c r="F851" s="16" t="n">
        <v>39204</v>
      </c>
      <c r="G851" s="15" t="s">
        <v>36</v>
      </c>
      <c r="H851" s="17" t="s">
        <v>25</v>
      </c>
      <c r="I851" s="18" t="s">
        <v>26</v>
      </c>
      <c r="J851" s="15" t="n">
        <v>2017</v>
      </c>
      <c r="K851" s="19" t="s">
        <v>27</v>
      </c>
      <c r="L851" s="15" t="s">
        <v>28</v>
      </c>
      <c r="M851" s="15" t="s">
        <v>33</v>
      </c>
      <c r="N851" s="15" t="s">
        <v>1019</v>
      </c>
      <c r="O851" s="15"/>
      <c r="P851" s="15"/>
      <c r="Q851" s="21"/>
      <c r="R851" s="21"/>
      <c r="S851" s="21"/>
      <c r="T851" s="28"/>
      <c r="U851" s="24"/>
    </row>
    <row r="852" s="25" customFormat="true" ht="41.4" hidden="false" customHeight="false" outlineLevel="0" collapsed="false">
      <c r="A852" s="36" t="s">
        <v>1999</v>
      </c>
      <c r="B852" s="26"/>
      <c r="C852" s="14" t="s">
        <v>1027</v>
      </c>
      <c r="D852" s="15" t="n">
        <v>2</v>
      </c>
      <c r="E852" s="27" t="n">
        <f aca="false">F852/2</f>
        <v>50</v>
      </c>
      <c r="F852" s="16" t="n">
        <v>100</v>
      </c>
      <c r="G852" s="15" t="s">
        <v>36</v>
      </c>
      <c r="H852" s="17" t="s">
        <v>25</v>
      </c>
      <c r="I852" s="18" t="s">
        <v>26</v>
      </c>
      <c r="J852" s="15" t="n">
        <v>2025</v>
      </c>
      <c r="K852" s="19" t="s">
        <v>27</v>
      </c>
      <c r="L852" s="15" t="s">
        <v>28</v>
      </c>
      <c r="M852" s="15" t="s">
        <v>33</v>
      </c>
      <c r="N852" s="17" t="s">
        <v>719</v>
      </c>
      <c r="O852" s="15"/>
      <c r="P852" s="15"/>
      <c r="Q852" s="21"/>
      <c r="R852" s="21"/>
      <c r="S852" s="21"/>
      <c r="T852" s="28"/>
      <c r="U852" s="24"/>
    </row>
    <row r="853" s="25" customFormat="true" ht="41.4" hidden="false" customHeight="false" outlineLevel="0" collapsed="false">
      <c r="A853" s="36" t="s">
        <v>2000</v>
      </c>
      <c r="B853" s="26" t="s">
        <v>2001</v>
      </c>
      <c r="C853" s="14" t="s">
        <v>1048</v>
      </c>
      <c r="D853" s="15" t="n">
        <v>10</v>
      </c>
      <c r="E853" s="27" t="n">
        <v>1398</v>
      </c>
      <c r="F853" s="16" t="n">
        <f aca="false">E853*2</f>
        <v>2796</v>
      </c>
      <c r="G853" s="15" t="s">
        <v>36</v>
      </c>
      <c r="H853" s="17" t="s">
        <v>25</v>
      </c>
      <c r="I853" s="18" t="s">
        <v>26</v>
      </c>
      <c r="J853" s="15" t="n">
        <v>2021</v>
      </c>
      <c r="K853" s="19" t="s">
        <v>27</v>
      </c>
      <c r="L853" s="15" t="s">
        <v>28</v>
      </c>
      <c r="M853" s="15" t="s">
        <v>33</v>
      </c>
      <c r="N853" s="20" t="s">
        <v>45</v>
      </c>
      <c r="O853" s="15"/>
      <c r="P853" s="15"/>
      <c r="Q853" s="21"/>
      <c r="R853" s="21"/>
      <c r="S853" s="21"/>
      <c r="T853" s="31" t="n">
        <v>45897</v>
      </c>
      <c r="U853" s="34"/>
    </row>
    <row r="854" s="25" customFormat="true" ht="41.4" hidden="false" customHeight="false" outlineLevel="0" collapsed="false">
      <c r="A854" s="36" t="s">
        <v>2002</v>
      </c>
      <c r="B854" s="26" t="s">
        <v>2003</v>
      </c>
      <c r="C854" s="14" t="s">
        <v>2004</v>
      </c>
      <c r="D854" s="15" t="n">
        <v>6</v>
      </c>
      <c r="E854" s="27" t="n">
        <f aca="false">F854/2</f>
        <v>546</v>
      </c>
      <c r="F854" s="16" t="n">
        <f aca="false">910*1.2</f>
        <v>1092</v>
      </c>
      <c r="G854" s="15" t="s">
        <v>354</v>
      </c>
      <c r="H854" s="17" t="s">
        <v>25</v>
      </c>
      <c r="I854" s="18" t="s">
        <v>26</v>
      </c>
      <c r="J854" s="15" t="n">
        <v>2012</v>
      </c>
      <c r="K854" s="19" t="s">
        <v>27</v>
      </c>
      <c r="L854" s="15" t="s">
        <v>28</v>
      </c>
      <c r="M854" s="15" t="s">
        <v>33</v>
      </c>
      <c r="N854" s="17"/>
      <c r="O854" s="15" t="s">
        <v>54</v>
      </c>
      <c r="P854" s="15"/>
      <c r="Q854" s="21" t="s">
        <v>47</v>
      </c>
      <c r="R854" s="21"/>
      <c r="S854" s="21"/>
      <c r="T854" s="28"/>
      <c r="U854" s="24"/>
    </row>
    <row r="855" s="25" customFormat="true" ht="41.4" hidden="false" customHeight="false" outlineLevel="0" collapsed="false">
      <c r="A855" s="36" t="s">
        <v>2005</v>
      </c>
      <c r="B855" s="26"/>
      <c r="C855" s="14" t="s">
        <v>249</v>
      </c>
      <c r="D855" s="15" t="n">
        <v>12</v>
      </c>
      <c r="E855" s="27" t="n">
        <f aca="false">F855/2</f>
        <v>33750</v>
      </c>
      <c r="F855" s="16" t="n">
        <v>67500</v>
      </c>
      <c r="G855" s="15" t="s">
        <v>36</v>
      </c>
      <c r="H855" s="17" t="s">
        <v>25</v>
      </c>
      <c r="I855" s="18" t="s">
        <v>26</v>
      </c>
      <c r="J855" s="15" t="n">
        <v>2023</v>
      </c>
      <c r="K855" s="19" t="s">
        <v>27</v>
      </c>
      <c r="L855" s="15" t="s">
        <v>28</v>
      </c>
      <c r="M855" s="15" t="s">
        <v>33</v>
      </c>
      <c r="N855" s="20"/>
      <c r="O855" s="15"/>
      <c r="P855" s="15"/>
      <c r="Q855" s="21"/>
      <c r="R855" s="21"/>
      <c r="S855" s="21"/>
      <c r="T855" s="28"/>
      <c r="U855" s="34"/>
    </row>
    <row r="856" s="25" customFormat="true" ht="41.4" hidden="false" customHeight="false" outlineLevel="0" collapsed="false">
      <c r="A856" s="36" t="s">
        <v>2006</v>
      </c>
      <c r="B856" s="26" t="s">
        <v>2007</v>
      </c>
      <c r="C856" s="14"/>
      <c r="D856" s="15" t="n">
        <v>4</v>
      </c>
      <c r="E856" s="27" t="n">
        <v>800</v>
      </c>
      <c r="F856" s="16" t="n">
        <v>1600</v>
      </c>
      <c r="G856" s="15" t="s">
        <v>36</v>
      </c>
      <c r="H856" s="17" t="s">
        <v>25</v>
      </c>
      <c r="I856" s="18" t="s">
        <v>26</v>
      </c>
      <c r="J856" s="15" t="n">
        <v>2017</v>
      </c>
      <c r="K856" s="19" t="s">
        <v>27</v>
      </c>
      <c r="L856" s="15" t="s">
        <v>28</v>
      </c>
      <c r="M856" s="15" t="s">
        <v>33</v>
      </c>
      <c r="N856" s="17"/>
      <c r="O856" s="15"/>
      <c r="P856" s="15"/>
      <c r="Q856" s="21" t="s">
        <v>78</v>
      </c>
      <c r="R856" s="21"/>
      <c r="S856" s="21"/>
      <c r="T856" s="28"/>
      <c r="U856" s="24"/>
    </row>
    <row r="857" s="25" customFormat="true" ht="41.4" hidden="false" customHeight="false" outlineLevel="0" collapsed="false">
      <c r="A857" s="36" t="s">
        <v>2008</v>
      </c>
      <c r="B857" s="26"/>
      <c r="C857" s="14" t="s">
        <v>1549</v>
      </c>
      <c r="D857" s="15" t="n">
        <v>4</v>
      </c>
      <c r="E857" s="27" t="n">
        <f aca="false">F857/2</f>
        <v>4000</v>
      </c>
      <c r="F857" s="16" t="n">
        <f aca="false">4*2000</f>
        <v>8000</v>
      </c>
      <c r="G857" s="15" t="s">
        <v>36</v>
      </c>
      <c r="H857" s="17" t="s">
        <v>25</v>
      </c>
      <c r="I857" s="18" t="s">
        <v>26</v>
      </c>
      <c r="J857" s="15" t="n">
        <v>2024</v>
      </c>
      <c r="K857" s="19" t="s">
        <v>1550</v>
      </c>
      <c r="L857" s="15" t="s">
        <v>28</v>
      </c>
      <c r="M857" s="15" t="s">
        <v>33</v>
      </c>
      <c r="N857" s="17"/>
      <c r="O857" s="15"/>
      <c r="P857" s="15"/>
      <c r="Q857" s="21" t="s">
        <v>78</v>
      </c>
      <c r="R857" s="21"/>
      <c r="S857" s="21"/>
      <c r="T857" s="28"/>
      <c r="U857" s="24"/>
    </row>
    <row r="858" s="25" customFormat="true" ht="79.8" hidden="false" customHeight="false" outlineLevel="0" collapsed="false">
      <c r="A858" s="36" t="s">
        <v>2009</v>
      </c>
      <c r="B858" s="26" t="s">
        <v>2010</v>
      </c>
      <c r="C858" s="14" t="s">
        <v>2011</v>
      </c>
      <c r="D858" s="15" t="n">
        <v>6</v>
      </c>
      <c r="E858" s="27" t="n">
        <f aca="false">F858/2</f>
        <v>13950</v>
      </c>
      <c r="F858" s="16" t="n">
        <f aca="false">13950*2</f>
        <v>27900</v>
      </c>
      <c r="G858" s="15" t="s">
        <v>24</v>
      </c>
      <c r="H858" s="17" t="s">
        <v>25</v>
      </c>
      <c r="I858" s="18" t="s">
        <v>26</v>
      </c>
      <c r="J858" s="15" t="n">
        <v>2012</v>
      </c>
      <c r="K858" s="19" t="s">
        <v>27</v>
      </c>
      <c r="L858" s="15" t="s">
        <v>28</v>
      </c>
      <c r="M858" s="15" t="s">
        <v>33</v>
      </c>
      <c r="N858" s="17" t="s">
        <v>164</v>
      </c>
      <c r="O858" s="15"/>
      <c r="P858" s="15"/>
      <c r="Q858" s="21" t="s">
        <v>55</v>
      </c>
      <c r="R858" s="21"/>
      <c r="S858" s="21"/>
      <c r="T858" s="31" t="n">
        <v>45901</v>
      </c>
      <c r="U858" s="24" t="s">
        <v>2012</v>
      </c>
    </row>
    <row r="859" s="25" customFormat="true" ht="41.4" hidden="false" customHeight="false" outlineLevel="0" collapsed="false">
      <c r="A859" s="36" t="s">
        <v>2013</v>
      </c>
      <c r="B859" s="26"/>
      <c r="C859" s="14" t="s">
        <v>2014</v>
      </c>
      <c r="D859" s="15" t="n">
        <v>6</v>
      </c>
      <c r="E859" s="16" t="n">
        <f aca="false">F859/2</f>
        <v>8100</v>
      </c>
      <c r="F859" s="16" t="n">
        <f aca="false">13500*1.2</f>
        <v>16200</v>
      </c>
      <c r="G859" s="15" t="s">
        <v>36</v>
      </c>
      <c r="H859" s="17" t="s">
        <v>25</v>
      </c>
      <c r="I859" s="18" t="s">
        <v>26</v>
      </c>
      <c r="J859" s="15" t="n">
        <v>2024</v>
      </c>
      <c r="K859" s="19" t="s">
        <v>27</v>
      </c>
      <c r="L859" s="15" t="s">
        <v>28</v>
      </c>
      <c r="M859" s="15" t="s">
        <v>33</v>
      </c>
      <c r="N859" s="17" t="s">
        <v>91</v>
      </c>
      <c r="O859" s="15"/>
      <c r="P859" s="15"/>
      <c r="Q859" s="21"/>
      <c r="R859" s="21"/>
      <c r="S859" s="21"/>
      <c r="T859" s="31" t="n">
        <v>45893</v>
      </c>
      <c r="U859" s="24"/>
    </row>
    <row r="860" s="25" customFormat="true" ht="41.4" hidden="false" customHeight="false" outlineLevel="0" collapsed="false">
      <c r="A860" s="36" t="s">
        <v>2015</v>
      </c>
      <c r="B860" s="26" t="s">
        <v>2016</v>
      </c>
      <c r="C860" s="14" t="s">
        <v>2017</v>
      </c>
      <c r="D860" s="15" t="n">
        <v>4</v>
      </c>
      <c r="E860" s="27" t="n">
        <f aca="false">F860/2</f>
        <v>3600</v>
      </c>
      <c r="F860" s="16" t="n">
        <v>7200</v>
      </c>
      <c r="G860" s="15" t="s">
        <v>36</v>
      </c>
      <c r="H860" s="17" t="s">
        <v>25</v>
      </c>
      <c r="I860" s="18" t="s">
        <v>26</v>
      </c>
      <c r="J860" s="15" t="n">
        <v>2017</v>
      </c>
      <c r="K860" s="19" t="s">
        <v>27</v>
      </c>
      <c r="L860" s="15" t="s">
        <v>28</v>
      </c>
      <c r="M860" s="15" t="s">
        <v>33</v>
      </c>
      <c r="N860" s="17" t="s">
        <v>153</v>
      </c>
      <c r="O860" s="15"/>
      <c r="P860" s="15"/>
      <c r="Q860" s="21" t="s">
        <v>78</v>
      </c>
      <c r="R860" s="21"/>
      <c r="S860" s="21"/>
      <c r="T860" s="28"/>
      <c r="U860" s="24"/>
    </row>
    <row r="861" s="25" customFormat="true" ht="41.4" hidden="false" customHeight="false" outlineLevel="0" collapsed="false">
      <c r="A861" s="36" t="s">
        <v>2018</v>
      </c>
      <c r="B861" s="26"/>
      <c r="C861" s="14" t="s">
        <v>283</v>
      </c>
      <c r="D861" s="15" t="n">
        <v>4</v>
      </c>
      <c r="E861" s="27" t="n">
        <f aca="false">F861/2</f>
        <v>4680</v>
      </c>
      <c r="F861" s="16" t="n">
        <f aca="false">7800*1.2</f>
        <v>9360</v>
      </c>
      <c r="G861" s="15" t="s">
        <v>36</v>
      </c>
      <c r="H861" s="17" t="s">
        <v>25</v>
      </c>
      <c r="I861" s="18" t="s">
        <v>26</v>
      </c>
      <c r="J861" s="15" t="n">
        <v>2025</v>
      </c>
      <c r="K861" s="19" t="s">
        <v>27</v>
      </c>
      <c r="L861" s="15" t="s">
        <v>28</v>
      </c>
      <c r="M861" s="15" t="s">
        <v>33</v>
      </c>
      <c r="N861" s="17"/>
      <c r="O861" s="15"/>
      <c r="P861" s="15"/>
      <c r="Q861" s="21"/>
      <c r="R861" s="21"/>
      <c r="S861" s="21"/>
      <c r="T861" s="28"/>
      <c r="U861" s="24" t="s">
        <v>1858</v>
      </c>
    </row>
    <row r="862" s="25" customFormat="true" ht="41.4" hidden="false" customHeight="false" outlineLevel="0" collapsed="false">
      <c r="A862" s="36" t="s">
        <v>2019</v>
      </c>
      <c r="B862" s="26" t="s">
        <v>2020</v>
      </c>
      <c r="C862" s="14" t="s">
        <v>475</v>
      </c>
      <c r="D862" s="15" t="n">
        <v>8</v>
      </c>
      <c r="E862" s="27" t="n">
        <f aca="false">F862/2</f>
        <v>27840</v>
      </c>
      <c r="F862" s="16" t="n">
        <f aca="false">23200*2*1.2</f>
        <v>55680</v>
      </c>
      <c r="G862" s="15" t="s">
        <v>36</v>
      </c>
      <c r="H862" s="17" t="s">
        <v>25</v>
      </c>
      <c r="I862" s="18" t="s">
        <v>26</v>
      </c>
      <c r="J862" s="15" t="n">
        <v>2019</v>
      </c>
      <c r="K862" s="19" t="s">
        <v>27</v>
      </c>
      <c r="L862" s="15" t="s">
        <v>28</v>
      </c>
      <c r="M862" s="15" t="s">
        <v>33</v>
      </c>
      <c r="N862" s="17" t="s">
        <v>45</v>
      </c>
      <c r="O862" s="15" t="s">
        <v>54</v>
      </c>
      <c r="P862" s="15"/>
      <c r="Q862" s="21" t="s">
        <v>476</v>
      </c>
      <c r="R862" s="21"/>
      <c r="S862" s="21"/>
      <c r="T862" s="31" t="n">
        <v>45846</v>
      </c>
      <c r="U862" s="24"/>
    </row>
    <row r="863" s="25" customFormat="true" ht="41.4" hidden="false" customHeight="false" outlineLevel="0" collapsed="false">
      <c r="A863" s="12" t="s">
        <v>2021</v>
      </c>
      <c r="B863" s="26" t="s">
        <v>2022</v>
      </c>
      <c r="C863" s="14" t="s">
        <v>475</v>
      </c>
      <c r="D863" s="15" t="n">
        <v>4</v>
      </c>
      <c r="E863" s="27" t="n">
        <f aca="false">F863/2</f>
        <v>17520</v>
      </c>
      <c r="F863" s="16" t="n">
        <f aca="false">14600*2*1.2</f>
        <v>35040</v>
      </c>
      <c r="G863" s="15" t="s">
        <v>36</v>
      </c>
      <c r="H863" s="17" t="s">
        <v>25</v>
      </c>
      <c r="I863" s="18" t="s">
        <v>26</v>
      </c>
      <c r="J863" s="15" t="n">
        <v>2019</v>
      </c>
      <c r="K863" s="19" t="s">
        <v>27</v>
      </c>
      <c r="L863" s="15" t="s">
        <v>28</v>
      </c>
      <c r="M863" s="15" t="s">
        <v>33</v>
      </c>
      <c r="N863" s="17" t="s">
        <v>45</v>
      </c>
      <c r="O863" s="15"/>
      <c r="P863" s="15"/>
      <c r="Q863" s="21" t="s">
        <v>476</v>
      </c>
      <c r="R863" s="21"/>
      <c r="S863" s="21"/>
      <c r="T863" s="31" t="n">
        <v>45846</v>
      </c>
      <c r="U863" s="24"/>
    </row>
    <row r="864" s="25" customFormat="true" ht="41.4" hidden="false" customHeight="false" outlineLevel="0" collapsed="false">
      <c r="A864" s="36" t="s">
        <v>2023</v>
      </c>
      <c r="B864" s="26"/>
      <c r="C864" s="14" t="s">
        <v>1276</v>
      </c>
      <c r="D864" s="15" t="n">
        <v>12</v>
      </c>
      <c r="E864" s="16" t="n">
        <f aca="false">F864/2</f>
        <v>14571</v>
      </c>
      <c r="F864" s="16" t="n">
        <v>29142</v>
      </c>
      <c r="G864" s="15" t="s">
        <v>36</v>
      </c>
      <c r="H864" s="17" t="s">
        <v>25</v>
      </c>
      <c r="I864" s="18" t="s">
        <v>26</v>
      </c>
      <c r="J864" s="15" t="n">
        <v>2024</v>
      </c>
      <c r="K864" s="19" t="s">
        <v>27</v>
      </c>
      <c r="L864" s="15" t="s">
        <v>28</v>
      </c>
      <c r="M864" s="15" t="s">
        <v>33</v>
      </c>
      <c r="N864" s="17"/>
      <c r="O864" s="15"/>
      <c r="P864" s="15"/>
      <c r="Q864" s="21"/>
      <c r="R864" s="21"/>
      <c r="S864" s="21"/>
      <c r="T864" s="28"/>
      <c r="U864" s="34"/>
    </row>
    <row r="865" s="25" customFormat="true" ht="41.4" hidden="false" customHeight="false" outlineLevel="0" collapsed="false">
      <c r="A865" s="36" t="s">
        <v>2024</v>
      </c>
      <c r="B865" s="26"/>
      <c r="C865" s="14"/>
      <c r="D865" s="15" t="n">
        <v>2</v>
      </c>
      <c r="E865" s="16" t="n">
        <f aca="false">F865/2</f>
        <v>1428.5</v>
      </c>
      <c r="F865" s="16" t="n">
        <v>2857</v>
      </c>
      <c r="G865" s="15" t="s">
        <v>36</v>
      </c>
      <c r="H865" s="17" t="s">
        <v>25</v>
      </c>
      <c r="I865" s="18" t="s">
        <v>26</v>
      </c>
      <c r="J865" s="15" t="n">
        <v>2025</v>
      </c>
      <c r="K865" s="19" t="s">
        <v>27</v>
      </c>
      <c r="L865" s="15" t="s">
        <v>28</v>
      </c>
      <c r="M865" s="15" t="s">
        <v>33</v>
      </c>
      <c r="N865" s="17"/>
      <c r="O865" s="15"/>
      <c r="P865" s="15"/>
      <c r="Q865" s="21"/>
      <c r="R865" s="21"/>
      <c r="S865" s="21"/>
      <c r="T865" s="28"/>
      <c r="U865" s="24"/>
    </row>
    <row r="866" s="25" customFormat="true" ht="41.4" hidden="false" customHeight="false" outlineLevel="0" collapsed="false">
      <c r="A866" s="36" t="s">
        <v>2025</v>
      </c>
      <c r="B866" s="26"/>
      <c r="C866" s="14" t="s">
        <v>1276</v>
      </c>
      <c r="D866" s="15" t="n">
        <v>12</v>
      </c>
      <c r="E866" s="16" t="n">
        <f aca="false">F866/2</f>
        <v>14571</v>
      </c>
      <c r="F866" s="16" t="n">
        <v>29142</v>
      </c>
      <c r="G866" s="15" t="s">
        <v>36</v>
      </c>
      <c r="H866" s="17" t="s">
        <v>25</v>
      </c>
      <c r="I866" s="18" t="s">
        <v>26</v>
      </c>
      <c r="J866" s="15" t="n">
        <v>2024</v>
      </c>
      <c r="K866" s="19" t="s">
        <v>27</v>
      </c>
      <c r="L866" s="15" t="s">
        <v>28</v>
      </c>
      <c r="M866" s="15" t="s">
        <v>33</v>
      </c>
      <c r="N866" s="17"/>
      <c r="O866" s="15"/>
      <c r="P866" s="15"/>
      <c r="Q866" s="21"/>
      <c r="R866" s="21"/>
      <c r="S866" s="21"/>
      <c r="T866" s="28"/>
      <c r="U866" s="34"/>
    </row>
    <row r="867" s="25" customFormat="true" ht="41.4" hidden="false" customHeight="false" outlineLevel="0" collapsed="false">
      <c r="A867" s="36" t="s">
        <v>2026</v>
      </c>
      <c r="B867" s="26"/>
      <c r="C867" s="14"/>
      <c r="D867" s="15" t="n">
        <v>6</v>
      </c>
      <c r="E867" s="16" t="n">
        <f aca="false">F867/2</f>
        <v>8571</v>
      </c>
      <c r="F867" s="16" t="n">
        <v>17142</v>
      </c>
      <c r="G867" s="15" t="s">
        <v>36</v>
      </c>
      <c r="H867" s="17" t="s">
        <v>25</v>
      </c>
      <c r="I867" s="18" t="s">
        <v>26</v>
      </c>
      <c r="J867" s="15" t="n">
        <v>2025</v>
      </c>
      <c r="K867" s="19" t="s">
        <v>27</v>
      </c>
      <c r="L867" s="15" t="s">
        <v>28</v>
      </c>
      <c r="M867" s="15" t="s">
        <v>33</v>
      </c>
      <c r="N867" s="17"/>
      <c r="O867" s="15"/>
      <c r="P867" s="15"/>
      <c r="Q867" s="21"/>
      <c r="R867" s="21"/>
      <c r="S867" s="21"/>
      <c r="T867" s="28"/>
      <c r="U867" s="24"/>
    </row>
    <row r="868" s="25" customFormat="true" ht="41.4" hidden="false" customHeight="false" outlineLevel="0" collapsed="false">
      <c r="A868" s="36" t="s">
        <v>126</v>
      </c>
      <c r="B868" s="26" t="s">
        <v>2027</v>
      </c>
      <c r="C868" s="14" t="s">
        <v>1065</v>
      </c>
      <c r="D868" s="15" t="n">
        <v>12</v>
      </c>
      <c r="E868" s="27" t="n">
        <f aca="false">F868/2</f>
        <v>62370</v>
      </c>
      <c r="F868" s="16" t="n">
        <f aca="false">118800*1.05</f>
        <v>124740</v>
      </c>
      <c r="G868" s="15" t="s">
        <v>36</v>
      </c>
      <c r="H868" s="17" t="s">
        <v>25</v>
      </c>
      <c r="I868" s="18" t="s">
        <v>26</v>
      </c>
      <c r="J868" s="15" t="n">
        <v>2017</v>
      </c>
      <c r="K868" s="19" t="s">
        <v>27</v>
      </c>
      <c r="L868" s="15" t="s">
        <v>28</v>
      </c>
      <c r="M868" s="15" t="s">
        <v>33</v>
      </c>
      <c r="N868" s="17" t="s">
        <v>126</v>
      </c>
      <c r="O868" s="15"/>
      <c r="P868" s="15"/>
      <c r="Q868" s="21" t="s">
        <v>78</v>
      </c>
      <c r="R868" s="21"/>
      <c r="S868" s="21"/>
      <c r="T868" s="31" t="n">
        <v>45856</v>
      </c>
      <c r="U868" s="24"/>
    </row>
    <row r="869" s="25" customFormat="true" ht="41.4" hidden="false" customHeight="false" outlineLevel="0" collapsed="false">
      <c r="A869" s="36" t="s">
        <v>2028</v>
      </c>
      <c r="B869" s="26" t="s">
        <v>2029</v>
      </c>
      <c r="C869" s="14" t="s">
        <v>1081</v>
      </c>
      <c r="D869" s="15" t="n">
        <v>4</v>
      </c>
      <c r="E869" s="27" t="n">
        <f aca="false">F869/2</f>
        <v>1400</v>
      </c>
      <c r="F869" s="16" t="n">
        <v>2800</v>
      </c>
      <c r="G869" s="15" t="s">
        <v>36</v>
      </c>
      <c r="H869" s="17" t="s">
        <v>25</v>
      </c>
      <c r="I869" s="18" t="s">
        <v>26</v>
      </c>
      <c r="J869" s="15" t="n">
        <v>2021</v>
      </c>
      <c r="K869" s="19" t="s">
        <v>27</v>
      </c>
      <c r="L869" s="15" t="s">
        <v>28</v>
      </c>
      <c r="M869" s="15" t="s">
        <v>33</v>
      </c>
      <c r="N869" s="17"/>
      <c r="O869" s="15"/>
      <c r="P869" s="15"/>
      <c r="Q869" s="21"/>
      <c r="R869" s="21"/>
      <c r="S869" s="21"/>
      <c r="T869" s="28"/>
      <c r="U869" s="34"/>
    </row>
    <row r="870" s="25" customFormat="true" ht="41.4" hidden="false" customHeight="false" outlineLevel="0" collapsed="false">
      <c r="A870" s="36" t="s">
        <v>2030</v>
      </c>
      <c r="B870" s="26" t="s">
        <v>2031</v>
      </c>
      <c r="C870" s="14" t="s">
        <v>64</v>
      </c>
      <c r="D870" s="15" t="n">
        <v>4</v>
      </c>
      <c r="E870" s="27" t="n">
        <f aca="false">F870/2</f>
        <v>600</v>
      </c>
      <c r="F870" s="16" t="n">
        <v>1200</v>
      </c>
      <c r="G870" s="15" t="s">
        <v>36</v>
      </c>
      <c r="H870" s="17" t="s">
        <v>25</v>
      </c>
      <c r="I870" s="18" t="s">
        <v>26</v>
      </c>
      <c r="J870" s="15" t="n">
        <v>2020</v>
      </c>
      <c r="K870" s="19" t="s">
        <v>65</v>
      </c>
      <c r="L870" s="15" t="s">
        <v>28</v>
      </c>
      <c r="M870" s="15" t="s">
        <v>33</v>
      </c>
      <c r="N870" s="17"/>
      <c r="O870" s="15"/>
      <c r="P870" s="15"/>
      <c r="Q870" s="21"/>
      <c r="R870" s="21"/>
      <c r="S870" s="21"/>
      <c r="T870" s="28"/>
      <c r="U870" s="34"/>
    </row>
    <row r="871" s="25" customFormat="true" ht="41.4" hidden="false" customHeight="false" outlineLevel="0" collapsed="false">
      <c r="A871" s="36" t="s">
        <v>2032</v>
      </c>
      <c r="B871" s="26"/>
      <c r="C871" s="14" t="s">
        <v>426</v>
      </c>
      <c r="D871" s="15" t="n">
        <v>4</v>
      </c>
      <c r="E871" s="27" t="n">
        <f aca="false">F871/2</f>
        <v>50</v>
      </c>
      <c r="F871" s="16" t="n">
        <v>100</v>
      </c>
      <c r="G871" s="15" t="s">
        <v>36</v>
      </c>
      <c r="H871" s="17" t="s">
        <v>25</v>
      </c>
      <c r="I871" s="18" t="s">
        <v>26</v>
      </c>
      <c r="J871" s="15" t="n">
        <v>2025</v>
      </c>
      <c r="K871" s="19" t="s">
        <v>427</v>
      </c>
      <c r="L871" s="15" t="s">
        <v>28</v>
      </c>
      <c r="M871" s="15" t="s">
        <v>33</v>
      </c>
      <c r="N871" s="17"/>
      <c r="O871" s="15"/>
      <c r="P871" s="15"/>
      <c r="Q871" s="21" t="s">
        <v>78</v>
      </c>
      <c r="R871" s="21"/>
      <c r="S871" s="21"/>
      <c r="T871" s="28"/>
      <c r="U871" s="24"/>
    </row>
    <row r="872" s="25" customFormat="true" ht="41.4" hidden="false" customHeight="false" outlineLevel="0" collapsed="false">
      <c r="A872" s="36" t="s">
        <v>2033</v>
      </c>
      <c r="B872" s="26" t="s">
        <v>2034</v>
      </c>
      <c r="C872" s="14" t="s">
        <v>2035</v>
      </c>
      <c r="D872" s="15" t="n">
        <v>4</v>
      </c>
      <c r="E872" s="27" t="n">
        <v>50</v>
      </c>
      <c r="F872" s="16" t="n">
        <v>100</v>
      </c>
      <c r="G872" s="15" t="s">
        <v>36</v>
      </c>
      <c r="H872" s="17" t="s">
        <v>25</v>
      </c>
      <c r="I872" s="18" t="s">
        <v>26</v>
      </c>
      <c r="J872" s="15" t="n">
        <v>2021</v>
      </c>
      <c r="K872" s="19" t="s">
        <v>27</v>
      </c>
      <c r="L872" s="15" t="s">
        <v>28</v>
      </c>
      <c r="M872" s="15" t="s">
        <v>33</v>
      </c>
      <c r="N872" s="20" t="s">
        <v>83</v>
      </c>
      <c r="O872" s="15"/>
      <c r="P872" s="15"/>
      <c r="Q872" s="21"/>
      <c r="R872" s="21"/>
      <c r="S872" s="21"/>
      <c r="T872" s="28"/>
      <c r="U872" s="34"/>
    </row>
    <row r="873" s="25" customFormat="true" ht="41.4" hidden="false" customHeight="false" outlineLevel="0" collapsed="false">
      <c r="A873" s="36" t="s">
        <v>2036</v>
      </c>
      <c r="B873" s="26"/>
      <c r="C873" s="14" t="s">
        <v>2037</v>
      </c>
      <c r="D873" s="15" t="n">
        <v>12</v>
      </c>
      <c r="E873" s="27" t="n">
        <f aca="false">F873/2</f>
        <v>6084</v>
      </c>
      <c r="F873" s="16" t="n">
        <f aca="false">10140*1.2</f>
        <v>12168</v>
      </c>
      <c r="G873" s="15" t="s">
        <v>36</v>
      </c>
      <c r="H873" s="17" t="s">
        <v>25</v>
      </c>
      <c r="I873" s="18" t="s">
        <v>26</v>
      </c>
      <c r="J873" s="15" t="n">
        <v>2023</v>
      </c>
      <c r="K873" s="19" t="s">
        <v>27</v>
      </c>
      <c r="L873" s="15" t="s">
        <v>28</v>
      </c>
      <c r="M873" s="15" t="s">
        <v>33</v>
      </c>
      <c r="N873" s="17" t="s">
        <v>83</v>
      </c>
      <c r="O873" s="15"/>
      <c r="P873" s="15"/>
      <c r="Q873" s="21"/>
      <c r="R873" s="21"/>
      <c r="S873" s="21"/>
      <c r="T873" s="28"/>
      <c r="U873" s="24"/>
    </row>
    <row r="874" s="25" customFormat="true" ht="41.4" hidden="false" customHeight="false" outlineLevel="0" collapsed="false">
      <c r="A874" s="36" t="s">
        <v>2038</v>
      </c>
      <c r="B874" s="26"/>
      <c r="C874" s="14" t="s">
        <v>1422</v>
      </c>
      <c r="D874" s="15" t="n">
        <v>6</v>
      </c>
      <c r="E874" s="27" t="n">
        <f aca="false">F874/2</f>
        <v>2000</v>
      </c>
      <c r="F874" s="16" t="n">
        <v>4000</v>
      </c>
      <c r="G874" s="15" t="s">
        <v>36</v>
      </c>
      <c r="H874" s="17" t="s">
        <v>25</v>
      </c>
      <c r="I874" s="18" t="s">
        <v>26</v>
      </c>
      <c r="J874" s="15" t="n">
        <v>2023</v>
      </c>
      <c r="K874" s="19" t="s">
        <v>27</v>
      </c>
      <c r="L874" s="15" t="s">
        <v>28</v>
      </c>
      <c r="M874" s="15" t="s">
        <v>33</v>
      </c>
      <c r="N874" s="17" t="s">
        <v>83</v>
      </c>
      <c r="O874" s="15"/>
      <c r="P874" s="15"/>
      <c r="Q874" s="21"/>
      <c r="R874" s="21"/>
      <c r="S874" s="21"/>
      <c r="T874" s="28"/>
      <c r="U874" s="24"/>
    </row>
    <row r="875" s="25" customFormat="true" ht="41.4" hidden="false" customHeight="false" outlineLevel="0" collapsed="false">
      <c r="A875" s="36" t="s">
        <v>2039</v>
      </c>
      <c r="B875" s="26" t="s">
        <v>2040</v>
      </c>
      <c r="C875" s="14" t="s">
        <v>330</v>
      </c>
      <c r="D875" s="15" t="n">
        <v>4</v>
      </c>
      <c r="E875" s="27" t="n">
        <f aca="false">F875/2</f>
        <v>1400</v>
      </c>
      <c r="F875" s="16" t="n">
        <v>2800</v>
      </c>
      <c r="G875" s="15" t="s">
        <v>24</v>
      </c>
      <c r="H875" s="17" t="s">
        <v>25</v>
      </c>
      <c r="I875" s="18" t="s">
        <v>26</v>
      </c>
      <c r="J875" s="15" t="n">
        <v>2014</v>
      </c>
      <c r="K875" s="19" t="s">
        <v>27</v>
      </c>
      <c r="L875" s="15" t="s">
        <v>28</v>
      </c>
      <c r="M875" s="15" t="s">
        <v>33</v>
      </c>
      <c r="N875" s="17" t="s">
        <v>83</v>
      </c>
      <c r="O875" s="15"/>
      <c r="P875" s="15"/>
      <c r="Q875" s="21" t="s">
        <v>302</v>
      </c>
      <c r="R875" s="21"/>
      <c r="S875" s="21"/>
      <c r="T875" s="28"/>
      <c r="U875" s="24"/>
    </row>
    <row r="876" s="25" customFormat="true" ht="41.4" hidden="false" customHeight="false" outlineLevel="0" collapsed="false">
      <c r="A876" s="36" t="s">
        <v>2041</v>
      </c>
      <c r="B876" s="26" t="s">
        <v>2042</v>
      </c>
      <c r="C876" s="14" t="s">
        <v>2043</v>
      </c>
      <c r="D876" s="15" t="n">
        <v>50</v>
      </c>
      <c r="E876" s="27" t="n">
        <f aca="false">F876/2</f>
        <v>7500</v>
      </c>
      <c r="F876" s="16" t="n">
        <v>15000</v>
      </c>
      <c r="G876" s="15" t="s">
        <v>36</v>
      </c>
      <c r="H876" s="17" t="s">
        <v>25</v>
      </c>
      <c r="I876" s="18" t="s">
        <v>26</v>
      </c>
      <c r="J876" s="15" t="n">
        <v>2022</v>
      </c>
      <c r="K876" s="19" t="s">
        <v>27</v>
      </c>
      <c r="L876" s="15" t="s">
        <v>28</v>
      </c>
      <c r="M876" s="15" t="s">
        <v>33</v>
      </c>
      <c r="N876" s="17" t="s">
        <v>83</v>
      </c>
      <c r="O876" s="15"/>
      <c r="P876" s="15"/>
      <c r="Q876" s="21"/>
      <c r="R876" s="21"/>
      <c r="S876" s="21"/>
      <c r="T876" s="28"/>
      <c r="U876" s="34"/>
    </row>
    <row r="877" s="25" customFormat="true" ht="41.4" hidden="false" customHeight="false" outlineLevel="0" collapsed="false">
      <c r="A877" s="36" t="s">
        <v>2044</v>
      </c>
      <c r="B877" s="26" t="s">
        <v>2045</v>
      </c>
      <c r="C877" s="14" t="s">
        <v>2046</v>
      </c>
      <c r="D877" s="15" t="n">
        <v>12</v>
      </c>
      <c r="E877" s="27" t="n">
        <v>13500</v>
      </c>
      <c r="F877" s="16" t="n">
        <v>27000</v>
      </c>
      <c r="G877" s="15" t="s">
        <v>36</v>
      </c>
      <c r="H877" s="17" t="s">
        <v>25</v>
      </c>
      <c r="I877" s="18" t="s">
        <v>26</v>
      </c>
      <c r="J877" s="15" t="n">
        <v>2017</v>
      </c>
      <c r="K877" s="19" t="s">
        <v>2047</v>
      </c>
      <c r="L877" s="15" t="s">
        <v>28</v>
      </c>
      <c r="M877" s="15" t="s">
        <v>33</v>
      </c>
      <c r="N877" s="17" t="s">
        <v>83</v>
      </c>
      <c r="O877" s="15"/>
      <c r="P877" s="15"/>
      <c r="Q877" s="21" t="s">
        <v>302</v>
      </c>
      <c r="R877" s="21"/>
      <c r="S877" s="21"/>
      <c r="T877" s="28"/>
      <c r="U877" s="24"/>
    </row>
    <row r="878" s="25" customFormat="true" ht="41.4" hidden="false" customHeight="false" outlineLevel="0" collapsed="false">
      <c r="A878" s="36" t="s">
        <v>2048</v>
      </c>
      <c r="B878" s="26" t="s">
        <v>2049</v>
      </c>
      <c r="C878" s="14" t="s">
        <v>1708</v>
      </c>
      <c r="D878" s="15" t="n">
        <v>6</v>
      </c>
      <c r="E878" s="27" t="n">
        <v>900</v>
      </c>
      <c r="F878" s="16" t="n">
        <v>1800</v>
      </c>
      <c r="G878" s="15" t="s">
        <v>24</v>
      </c>
      <c r="H878" s="17" t="s">
        <v>25</v>
      </c>
      <c r="I878" s="18" t="s">
        <v>26</v>
      </c>
      <c r="J878" s="15" t="n">
        <v>2015</v>
      </c>
      <c r="K878" s="19" t="s">
        <v>65</v>
      </c>
      <c r="L878" s="15" t="s">
        <v>28</v>
      </c>
      <c r="M878" s="15" t="s">
        <v>33</v>
      </c>
      <c r="N878" s="17" t="s">
        <v>83</v>
      </c>
      <c r="O878" s="15" t="s">
        <v>54</v>
      </c>
      <c r="P878" s="15"/>
      <c r="Q878" s="21" t="s">
        <v>78</v>
      </c>
      <c r="R878" s="21"/>
      <c r="S878" s="21"/>
      <c r="T878" s="28"/>
      <c r="U878" s="24"/>
    </row>
    <row r="879" s="25" customFormat="true" ht="41.4" hidden="false" customHeight="false" outlineLevel="0" collapsed="false">
      <c r="A879" s="36" t="s">
        <v>2050</v>
      </c>
      <c r="B879" s="26" t="s">
        <v>2051</v>
      </c>
      <c r="C879" s="70" t="s">
        <v>2052</v>
      </c>
      <c r="D879" s="15" t="n">
        <v>4</v>
      </c>
      <c r="E879" s="27" t="n">
        <f aca="false">F879/2</f>
        <v>3500</v>
      </c>
      <c r="F879" s="16" t="n">
        <v>7000</v>
      </c>
      <c r="G879" s="15" t="s">
        <v>36</v>
      </c>
      <c r="H879" s="17" t="s">
        <v>25</v>
      </c>
      <c r="I879" s="18" t="s">
        <v>26</v>
      </c>
      <c r="J879" s="15" t="n">
        <v>2020</v>
      </c>
      <c r="K879" s="19" t="s">
        <v>27</v>
      </c>
      <c r="L879" s="15" t="s">
        <v>28</v>
      </c>
      <c r="M879" s="15" t="s">
        <v>33</v>
      </c>
      <c r="N879" s="17" t="s">
        <v>83</v>
      </c>
      <c r="O879" s="15"/>
      <c r="P879" s="15"/>
      <c r="Q879" s="21" t="s">
        <v>302</v>
      </c>
      <c r="R879" s="21"/>
      <c r="S879" s="21"/>
      <c r="T879" s="31" t="n">
        <v>45852</v>
      </c>
      <c r="U879" s="24"/>
    </row>
    <row r="880" s="25" customFormat="true" ht="45.6" hidden="false" customHeight="false" outlineLevel="0" collapsed="false">
      <c r="A880" s="36" t="s">
        <v>2053</v>
      </c>
      <c r="B880" s="26" t="s">
        <v>2054</v>
      </c>
      <c r="C880" s="14" t="s">
        <v>932</v>
      </c>
      <c r="D880" s="15" t="n">
        <v>8</v>
      </c>
      <c r="E880" s="27" t="n">
        <f aca="false">F880/2</f>
        <v>2400</v>
      </c>
      <c r="F880" s="16" t="n">
        <v>4800</v>
      </c>
      <c r="G880" s="15" t="s">
        <v>24</v>
      </c>
      <c r="H880" s="17" t="s">
        <v>25</v>
      </c>
      <c r="I880" s="18" t="s">
        <v>26</v>
      </c>
      <c r="J880" s="15" t="n">
        <v>2006</v>
      </c>
      <c r="K880" s="19" t="s">
        <v>27</v>
      </c>
      <c r="L880" s="15" t="s">
        <v>28</v>
      </c>
      <c r="M880" s="15" t="s">
        <v>33</v>
      </c>
      <c r="N880" s="17" t="s">
        <v>83</v>
      </c>
      <c r="O880" s="15"/>
      <c r="P880" s="15"/>
      <c r="Q880" s="21" t="s">
        <v>939</v>
      </c>
      <c r="R880" s="21"/>
      <c r="S880" s="21"/>
      <c r="T880" s="28"/>
      <c r="U880" s="24" t="s">
        <v>2055</v>
      </c>
    </row>
    <row r="881" s="25" customFormat="true" ht="41.4" hidden="false" customHeight="false" outlineLevel="0" collapsed="false">
      <c r="A881" s="36" t="s">
        <v>2056</v>
      </c>
      <c r="B881" s="26" t="s">
        <v>2057</v>
      </c>
      <c r="C881" s="70" t="s">
        <v>148</v>
      </c>
      <c r="D881" s="15" t="n">
        <v>4</v>
      </c>
      <c r="E881" s="27" t="n">
        <f aca="false">F881/2</f>
        <v>5297</v>
      </c>
      <c r="F881" s="35" t="n">
        <f aca="false">FLOOR(8829*1.2,1)</f>
        <v>10594</v>
      </c>
      <c r="G881" s="15" t="s">
        <v>36</v>
      </c>
      <c r="H881" s="17" t="s">
        <v>25</v>
      </c>
      <c r="I881" s="18" t="s">
        <v>26</v>
      </c>
      <c r="J881" s="15" t="n">
        <v>2021</v>
      </c>
      <c r="K881" s="19" t="s">
        <v>27</v>
      </c>
      <c r="L881" s="15" t="s">
        <v>28</v>
      </c>
      <c r="M881" s="15" t="s">
        <v>33</v>
      </c>
      <c r="N881" s="17" t="s">
        <v>83</v>
      </c>
      <c r="O881" s="15"/>
      <c r="P881" s="15"/>
      <c r="Q881" s="21"/>
      <c r="R881" s="21"/>
      <c r="S881" s="21"/>
      <c r="T881" s="31" t="n">
        <v>45882</v>
      </c>
      <c r="U881" s="34"/>
    </row>
    <row r="882" s="25" customFormat="true" ht="41.4" hidden="false" customHeight="false" outlineLevel="0" collapsed="false">
      <c r="A882" s="36" t="s">
        <v>2058</v>
      </c>
      <c r="B882" s="26" t="s">
        <v>2059</v>
      </c>
      <c r="C882" s="70" t="s">
        <v>2060</v>
      </c>
      <c r="D882" s="15" t="n">
        <v>4</v>
      </c>
      <c r="E882" s="27" t="n">
        <v>750</v>
      </c>
      <c r="F882" s="16" t="n">
        <v>1500</v>
      </c>
      <c r="G882" s="15" t="s">
        <v>24</v>
      </c>
      <c r="H882" s="17" t="s">
        <v>25</v>
      </c>
      <c r="I882" s="18" t="s">
        <v>26</v>
      </c>
      <c r="J882" s="15" t="n">
        <v>2017</v>
      </c>
      <c r="K882" s="19" t="s">
        <v>2061</v>
      </c>
      <c r="L882" s="15" t="s">
        <v>28</v>
      </c>
      <c r="M882" s="15" t="s">
        <v>33</v>
      </c>
      <c r="N882" s="17" t="s">
        <v>83</v>
      </c>
      <c r="O882" s="15"/>
      <c r="P882" s="15"/>
      <c r="Q882" s="21" t="s">
        <v>302</v>
      </c>
      <c r="R882" s="21"/>
      <c r="S882" s="21"/>
      <c r="T882" s="28"/>
      <c r="U882" s="24"/>
    </row>
    <row r="883" s="25" customFormat="true" ht="41.4" hidden="false" customHeight="false" outlineLevel="0" collapsed="false">
      <c r="A883" s="36" t="s">
        <v>2062</v>
      </c>
      <c r="B883" s="26" t="s">
        <v>2063</v>
      </c>
      <c r="C883" s="70" t="s">
        <v>316</v>
      </c>
      <c r="D883" s="15" t="n">
        <v>22</v>
      </c>
      <c r="E883" s="27" t="n">
        <f aca="false">F883/2</f>
        <v>4140</v>
      </c>
      <c r="F883" s="16" t="n">
        <v>8280</v>
      </c>
      <c r="G883" s="15" t="s">
        <v>24</v>
      </c>
      <c r="H883" s="17" t="s">
        <v>25</v>
      </c>
      <c r="I883" s="18" t="s">
        <v>26</v>
      </c>
      <c r="J883" s="15" t="n">
        <v>2008</v>
      </c>
      <c r="K883" s="19" t="s">
        <v>27</v>
      </c>
      <c r="L883" s="15" t="s">
        <v>28</v>
      </c>
      <c r="M883" s="15" t="s">
        <v>33</v>
      </c>
      <c r="N883" s="17" t="s">
        <v>83</v>
      </c>
      <c r="O883" s="15" t="s">
        <v>54</v>
      </c>
      <c r="P883" s="15"/>
      <c r="Q883" s="21" t="s">
        <v>939</v>
      </c>
      <c r="R883" s="21"/>
      <c r="S883" s="21"/>
      <c r="T883" s="28"/>
      <c r="U883" s="24" t="s">
        <v>2064</v>
      </c>
    </row>
    <row r="884" s="25" customFormat="true" ht="41.4" hidden="false" customHeight="false" outlineLevel="0" collapsed="false">
      <c r="A884" s="36" t="s">
        <v>2065</v>
      </c>
      <c r="B884" s="26" t="s">
        <v>2066</v>
      </c>
      <c r="C884" s="14" t="s">
        <v>307</v>
      </c>
      <c r="D884" s="15" t="n">
        <v>4</v>
      </c>
      <c r="E884" s="27" t="n">
        <f aca="false">F884/2</f>
        <v>50</v>
      </c>
      <c r="F884" s="16" t="n">
        <v>100</v>
      </c>
      <c r="G884" s="15" t="s">
        <v>36</v>
      </c>
      <c r="H884" s="17" t="s">
        <v>25</v>
      </c>
      <c r="I884" s="18" t="s">
        <v>26</v>
      </c>
      <c r="J884" s="15" t="n">
        <v>2019</v>
      </c>
      <c r="K884" s="19" t="s">
        <v>27</v>
      </c>
      <c r="L884" s="15" t="s">
        <v>28</v>
      </c>
      <c r="M884" s="15" t="s">
        <v>33</v>
      </c>
      <c r="N884" s="17" t="s">
        <v>83</v>
      </c>
      <c r="O884" s="15"/>
      <c r="P884" s="15"/>
      <c r="Q884" s="21"/>
      <c r="R884" s="21"/>
      <c r="S884" s="21"/>
      <c r="T884" s="28"/>
      <c r="U884" s="34"/>
    </row>
    <row r="885" s="25" customFormat="true" ht="41.4" hidden="false" customHeight="false" outlineLevel="0" collapsed="false">
      <c r="A885" s="63" t="s">
        <v>2067</v>
      </c>
      <c r="B885" s="26"/>
      <c r="C885" s="74" t="s">
        <v>264</v>
      </c>
      <c r="D885" s="30" t="n">
        <v>12</v>
      </c>
      <c r="E885" s="16" t="n">
        <f aca="false">F885/2</f>
        <v>43256.16</v>
      </c>
      <c r="F885" s="16" t="n">
        <f aca="false">93024*0.93</f>
        <v>86512.32</v>
      </c>
      <c r="G885" s="15" t="s">
        <v>36</v>
      </c>
      <c r="H885" s="17" t="s">
        <v>25</v>
      </c>
      <c r="I885" s="18" t="s">
        <v>26</v>
      </c>
      <c r="J885" s="15" t="n">
        <v>2024</v>
      </c>
      <c r="K885" s="19" t="s">
        <v>27</v>
      </c>
      <c r="L885" s="15" t="s">
        <v>28</v>
      </c>
      <c r="M885" s="15" t="s">
        <v>33</v>
      </c>
      <c r="N885" s="17" t="s">
        <v>83</v>
      </c>
      <c r="O885" s="60"/>
      <c r="P885" s="60"/>
      <c r="Q885" s="21"/>
      <c r="R885" s="21"/>
      <c r="S885" s="40"/>
      <c r="T885" s="31" t="n">
        <v>45880</v>
      </c>
      <c r="U885" s="41"/>
    </row>
    <row r="886" s="25" customFormat="true" ht="41.4" hidden="false" customHeight="false" outlineLevel="0" collapsed="false">
      <c r="A886" s="36" t="s">
        <v>2068</v>
      </c>
      <c r="B886" s="26" t="s">
        <v>2069</v>
      </c>
      <c r="C886" s="70"/>
      <c r="D886" s="15" t="n">
        <v>12</v>
      </c>
      <c r="E886" s="27" t="n">
        <f aca="false">F886/2</f>
        <v>650</v>
      </c>
      <c r="F886" s="16" t="n">
        <v>1300</v>
      </c>
      <c r="G886" s="15" t="s">
        <v>354</v>
      </c>
      <c r="H886" s="17" t="s">
        <v>25</v>
      </c>
      <c r="I886" s="18" t="s">
        <v>26</v>
      </c>
      <c r="J886" s="15" t="n">
        <v>2002</v>
      </c>
      <c r="K886" s="19" t="s">
        <v>27</v>
      </c>
      <c r="L886" s="15" t="s">
        <v>28</v>
      </c>
      <c r="M886" s="15" t="s">
        <v>33</v>
      </c>
      <c r="N886" s="17" t="s">
        <v>184</v>
      </c>
      <c r="O886" s="15"/>
      <c r="P886" s="15"/>
      <c r="Q886" s="21" t="s">
        <v>47</v>
      </c>
      <c r="R886" s="21"/>
      <c r="S886" s="21"/>
      <c r="T886" s="28"/>
      <c r="U886" s="24" t="s">
        <v>2070</v>
      </c>
    </row>
    <row r="887" s="25" customFormat="true" ht="41.4" hidden="false" customHeight="false" outlineLevel="0" collapsed="false">
      <c r="A887" s="42" t="s">
        <v>2071</v>
      </c>
      <c r="B887" s="26"/>
      <c r="C887" s="70" t="s">
        <v>264</v>
      </c>
      <c r="D887" s="15" t="n">
        <v>12</v>
      </c>
      <c r="E887" s="27" t="n">
        <f aca="false">F887/2</f>
        <v>54070.2</v>
      </c>
      <c r="F887" s="16" t="n">
        <f aca="false">116280*0.93</f>
        <v>108140.4</v>
      </c>
      <c r="G887" s="15" t="s">
        <v>36</v>
      </c>
      <c r="H887" s="17" t="s">
        <v>25</v>
      </c>
      <c r="I887" s="18" t="s">
        <v>26</v>
      </c>
      <c r="J887" s="15" t="n">
        <v>2024</v>
      </c>
      <c r="K887" s="19" t="s">
        <v>27</v>
      </c>
      <c r="L887" s="15" t="s">
        <v>28</v>
      </c>
      <c r="M887" s="15" t="s">
        <v>33</v>
      </c>
      <c r="N887" s="17" t="s">
        <v>53</v>
      </c>
      <c r="O887" s="15"/>
      <c r="P887" s="15"/>
      <c r="Q887" s="21"/>
      <c r="R887" s="21"/>
      <c r="S887" s="21"/>
      <c r="T887" s="31" t="n">
        <v>45880</v>
      </c>
      <c r="U887" s="24"/>
    </row>
    <row r="888" s="25" customFormat="true" ht="68.4" hidden="false" customHeight="false" outlineLevel="0" collapsed="false">
      <c r="A888" s="36" t="s">
        <v>2072</v>
      </c>
      <c r="B888" s="26" t="s">
        <v>2073</v>
      </c>
      <c r="C888" s="70"/>
      <c r="D888" s="15" t="n">
        <v>4</v>
      </c>
      <c r="E888" s="27" t="n">
        <f aca="false">F888/2</f>
        <v>375</v>
      </c>
      <c r="F888" s="16" t="n">
        <v>750</v>
      </c>
      <c r="G888" s="15" t="s">
        <v>354</v>
      </c>
      <c r="H888" s="17" t="s">
        <v>25</v>
      </c>
      <c r="I888" s="18" t="s">
        <v>26</v>
      </c>
      <c r="J888" s="15" t="n">
        <v>2004</v>
      </c>
      <c r="K888" s="19" t="s">
        <v>27</v>
      </c>
      <c r="L888" s="15" t="s">
        <v>28</v>
      </c>
      <c r="M888" s="15" t="s">
        <v>33</v>
      </c>
      <c r="N888" s="17" t="s">
        <v>184</v>
      </c>
      <c r="O888" s="15"/>
      <c r="P888" s="15"/>
      <c r="Q888" s="21" t="s">
        <v>47</v>
      </c>
      <c r="R888" s="21"/>
      <c r="S888" s="21"/>
      <c r="T888" s="28"/>
      <c r="U888" s="24" t="s">
        <v>2074</v>
      </c>
    </row>
    <row r="889" s="25" customFormat="true" ht="55.2" hidden="false" customHeight="false" outlineLevel="0" collapsed="false">
      <c r="A889" s="36" t="s">
        <v>2075</v>
      </c>
      <c r="B889" s="26"/>
      <c r="C889" s="14" t="s">
        <v>2076</v>
      </c>
      <c r="D889" s="15" t="n">
        <v>4</v>
      </c>
      <c r="E889" s="16" t="n">
        <v>637</v>
      </c>
      <c r="F889" s="16" t="n">
        <v>1167</v>
      </c>
      <c r="G889" s="15" t="s">
        <v>36</v>
      </c>
      <c r="H889" s="17" t="s">
        <v>25</v>
      </c>
      <c r="I889" s="18" t="s">
        <v>26</v>
      </c>
      <c r="J889" s="15" t="n">
        <v>2025</v>
      </c>
      <c r="K889" s="19" t="s">
        <v>27</v>
      </c>
      <c r="L889" s="15" t="s">
        <v>28</v>
      </c>
      <c r="M889" s="15" t="s">
        <v>33</v>
      </c>
      <c r="N889" s="17"/>
      <c r="O889" s="15"/>
      <c r="P889" s="15"/>
      <c r="Q889" s="21"/>
      <c r="R889" s="21"/>
      <c r="S889" s="21"/>
      <c r="T889" s="28"/>
      <c r="U889" s="24"/>
    </row>
    <row r="890" s="25" customFormat="true" ht="68.4" hidden="false" customHeight="false" outlineLevel="0" collapsed="false">
      <c r="A890" s="36" t="s">
        <v>2077</v>
      </c>
      <c r="B890" s="26" t="s">
        <v>2078</v>
      </c>
      <c r="C890" s="70" t="s">
        <v>515</v>
      </c>
      <c r="D890" s="15" t="n">
        <v>12</v>
      </c>
      <c r="E890" s="27" t="n">
        <f aca="false">F890/2</f>
        <v>30600</v>
      </c>
      <c r="F890" s="16" t="n">
        <f aca="false">72000*0.85</f>
        <v>61200</v>
      </c>
      <c r="G890" s="15" t="s">
        <v>24</v>
      </c>
      <c r="H890" s="17" t="s">
        <v>25</v>
      </c>
      <c r="I890" s="18" t="s">
        <v>26</v>
      </c>
      <c r="J890" s="15" t="n">
        <v>2012</v>
      </c>
      <c r="K890" s="19" t="s">
        <v>27</v>
      </c>
      <c r="L890" s="15" t="s">
        <v>28</v>
      </c>
      <c r="M890" s="15" t="s">
        <v>33</v>
      </c>
      <c r="N890" s="17" t="s">
        <v>512</v>
      </c>
      <c r="O890" s="15" t="s">
        <v>54</v>
      </c>
      <c r="P890" s="15"/>
      <c r="Q890" s="21" t="s">
        <v>516</v>
      </c>
      <c r="R890" s="21"/>
      <c r="S890" s="21"/>
      <c r="T890" s="31" t="n">
        <v>45846</v>
      </c>
      <c r="U890" s="24" t="s">
        <v>2079</v>
      </c>
    </row>
    <row r="891" s="25" customFormat="true" ht="41.4" hidden="false" customHeight="false" outlineLevel="0" collapsed="false">
      <c r="A891" s="36" t="s">
        <v>2080</v>
      </c>
      <c r="B891" s="26" t="s">
        <v>2081</v>
      </c>
      <c r="C891" s="14" t="s">
        <v>2082</v>
      </c>
      <c r="D891" s="15" t="n">
        <v>4</v>
      </c>
      <c r="E891" s="27" t="n">
        <f aca="false">F891/2</f>
        <v>1050</v>
      </c>
      <c r="F891" s="16" t="n">
        <v>2100</v>
      </c>
      <c r="G891" s="15" t="s">
        <v>36</v>
      </c>
      <c r="H891" s="17" t="s">
        <v>25</v>
      </c>
      <c r="I891" s="18" t="s">
        <v>26</v>
      </c>
      <c r="J891" s="15" t="n">
        <v>2014</v>
      </c>
      <c r="K891" s="19" t="s">
        <v>65</v>
      </c>
      <c r="L891" s="15" t="s">
        <v>28</v>
      </c>
      <c r="M891" s="15" t="s">
        <v>33</v>
      </c>
      <c r="N891" s="17" t="s">
        <v>270</v>
      </c>
      <c r="O891" s="15"/>
      <c r="P891" s="15"/>
      <c r="Q891" s="21" t="s">
        <v>78</v>
      </c>
      <c r="R891" s="21"/>
      <c r="S891" s="21"/>
      <c r="T891" s="28"/>
      <c r="U891" s="24"/>
    </row>
    <row r="892" s="25" customFormat="true" ht="41.4" hidden="false" customHeight="false" outlineLevel="0" collapsed="false">
      <c r="A892" s="36" t="s">
        <v>2083</v>
      </c>
      <c r="B892" s="26" t="s">
        <v>2084</v>
      </c>
      <c r="C892" s="14" t="s">
        <v>404</v>
      </c>
      <c r="D892" s="15" t="n">
        <v>2</v>
      </c>
      <c r="E892" s="27" t="n">
        <f aca="false">F892/2</f>
        <v>1800</v>
      </c>
      <c r="F892" s="16" t="n">
        <v>3600</v>
      </c>
      <c r="G892" s="15" t="s">
        <v>36</v>
      </c>
      <c r="H892" s="17" t="s">
        <v>25</v>
      </c>
      <c r="I892" s="18" t="s">
        <v>26</v>
      </c>
      <c r="J892" s="15" t="n">
        <v>2018</v>
      </c>
      <c r="K892" s="19" t="s">
        <v>27</v>
      </c>
      <c r="L892" s="15" t="s">
        <v>28</v>
      </c>
      <c r="M892" s="15" t="s">
        <v>33</v>
      </c>
      <c r="N892" s="17" t="s">
        <v>72</v>
      </c>
      <c r="O892" s="15"/>
      <c r="P892" s="15"/>
      <c r="Q892" s="21" t="s">
        <v>73</v>
      </c>
      <c r="R892" s="21" t="s">
        <v>30</v>
      </c>
      <c r="S892" s="21"/>
      <c r="T892" s="31" t="n">
        <v>45848</v>
      </c>
      <c r="U892" s="24"/>
    </row>
    <row r="893" s="25" customFormat="true" ht="41.4" hidden="false" customHeight="false" outlineLevel="0" collapsed="false">
      <c r="A893" s="36" t="s">
        <v>2085</v>
      </c>
      <c r="B893" s="26" t="s">
        <v>2086</v>
      </c>
      <c r="C893" s="14" t="s">
        <v>404</v>
      </c>
      <c r="D893" s="15" t="n">
        <v>2</v>
      </c>
      <c r="E893" s="27" t="n">
        <f aca="false">F893/2</f>
        <v>1800</v>
      </c>
      <c r="F893" s="16" t="n">
        <v>3600</v>
      </c>
      <c r="G893" s="15" t="s">
        <v>36</v>
      </c>
      <c r="H893" s="17" t="s">
        <v>25</v>
      </c>
      <c r="I893" s="18" t="s">
        <v>26</v>
      </c>
      <c r="J893" s="15" t="n">
        <v>2018</v>
      </c>
      <c r="K893" s="19" t="s">
        <v>27</v>
      </c>
      <c r="L893" s="15" t="s">
        <v>28</v>
      </c>
      <c r="M893" s="15" t="s">
        <v>33</v>
      </c>
      <c r="N893" s="17" t="s">
        <v>72</v>
      </c>
      <c r="O893" s="15"/>
      <c r="P893" s="15"/>
      <c r="Q893" s="21" t="s">
        <v>73</v>
      </c>
      <c r="R893" s="21" t="s">
        <v>30</v>
      </c>
      <c r="S893" s="21"/>
      <c r="T893" s="31" t="n">
        <v>45848</v>
      </c>
      <c r="U893" s="24"/>
    </row>
    <row r="894" s="25" customFormat="true" ht="41.4" hidden="false" customHeight="false" outlineLevel="0" collapsed="false">
      <c r="A894" s="36" t="s">
        <v>2087</v>
      </c>
      <c r="B894" s="26" t="s">
        <v>2088</v>
      </c>
      <c r="C894" s="14" t="s">
        <v>404</v>
      </c>
      <c r="D894" s="15" t="n">
        <v>2</v>
      </c>
      <c r="E894" s="27" t="n">
        <f aca="false">F894/2</f>
        <v>1800</v>
      </c>
      <c r="F894" s="16" t="n">
        <v>3600</v>
      </c>
      <c r="G894" s="15" t="s">
        <v>36</v>
      </c>
      <c r="H894" s="17" t="s">
        <v>25</v>
      </c>
      <c r="I894" s="18" t="s">
        <v>26</v>
      </c>
      <c r="J894" s="15" t="n">
        <v>2018</v>
      </c>
      <c r="K894" s="19" t="s">
        <v>27</v>
      </c>
      <c r="L894" s="15" t="s">
        <v>28</v>
      </c>
      <c r="M894" s="15" t="s">
        <v>33</v>
      </c>
      <c r="N894" s="17" t="s">
        <v>865</v>
      </c>
      <c r="O894" s="15"/>
      <c r="P894" s="15"/>
      <c r="Q894" s="21"/>
      <c r="R894" s="21" t="s">
        <v>30</v>
      </c>
      <c r="S894" s="21"/>
      <c r="T894" s="31" t="n">
        <v>45848</v>
      </c>
      <c r="U894" s="24"/>
    </row>
    <row r="895" s="25" customFormat="true" ht="41.4" hidden="false" customHeight="false" outlineLevel="0" collapsed="false">
      <c r="A895" s="36" t="s">
        <v>2089</v>
      </c>
      <c r="B895" s="26" t="s">
        <v>2090</v>
      </c>
      <c r="C895" s="14" t="s">
        <v>404</v>
      </c>
      <c r="D895" s="15" t="n">
        <v>2</v>
      </c>
      <c r="E895" s="27" t="n">
        <f aca="false">F895/2</f>
        <v>1800</v>
      </c>
      <c r="F895" s="16" t="n">
        <v>3600</v>
      </c>
      <c r="G895" s="15" t="s">
        <v>36</v>
      </c>
      <c r="H895" s="17" t="s">
        <v>25</v>
      </c>
      <c r="I895" s="18" t="s">
        <v>26</v>
      </c>
      <c r="J895" s="15" t="n">
        <v>2018</v>
      </c>
      <c r="K895" s="19" t="s">
        <v>27</v>
      </c>
      <c r="L895" s="15" t="s">
        <v>28</v>
      </c>
      <c r="M895" s="15" t="s">
        <v>33</v>
      </c>
      <c r="N895" s="17" t="s">
        <v>72</v>
      </c>
      <c r="O895" s="15"/>
      <c r="P895" s="15"/>
      <c r="Q895" s="21" t="s">
        <v>73</v>
      </c>
      <c r="R895" s="21" t="s">
        <v>30</v>
      </c>
      <c r="S895" s="21"/>
      <c r="T895" s="31" t="n">
        <v>45848</v>
      </c>
      <c r="U895" s="24"/>
    </row>
    <row r="896" s="25" customFormat="true" ht="41.4" hidden="false" customHeight="false" outlineLevel="0" collapsed="false">
      <c r="A896" s="36" t="s">
        <v>2091</v>
      </c>
      <c r="B896" s="26" t="s">
        <v>2092</v>
      </c>
      <c r="C896" s="14" t="s">
        <v>2093</v>
      </c>
      <c r="D896" s="15" t="n">
        <v>6</v>
      </c>
      <c r="E896" s="27" t="n">
        <f aca="false">F896/2</f>
        <v>2340</v>
      </c>
      <c r="F896" s="27" t="n">
        <v>4680</v>
      </c>
      <c r="G896" s="15" t="s">
        <v>36</v>
      </c>
      <c r="H896" s="17" t="s">
        <v>25</v>
      </c>
      <c r="I896" s="18" t="s">
        <v>26</v>
      </c>
      <c r="J896" s="15" t="n">
        <v>2016</v>
      </c>
      <c r="K896" s="19" t="s">
        <v>27</v>
      </c>
      <c r="L896" s="15" t="s">
        <v>28</v>
      </c>
      <c r="M896" s="15" t="s">
        <v>33</v>
      </c>
      <c r="N896" s="17" t="s">
        <v>270</v>
      </c>
      <c r="O896" s="15"/>
      <c r="P896" s="15"/>
      <c r="Q896" s="21"/>
      <c r="R896" s="21"/>
      <c r="S896" s="21"/>
      <c r="T896" s="28"/>
      <c r="U896" s="34"/>
    </row>
    <row r="897" s="25" customFormat="true" ht="41.4" hidden="false" customHeight="false" outlineLevel="0" collapsed="false">
      <c r="A897" s="36" t="s">
        <v>2091</v>
      </c>
      <c r="B897" s="26" t="s">
        <v>2094</v>
      </c>
      <c r="C897" s="14"/>
      <c r="D897" s="15" t="n">
        <v>6</v>
      </c>
      <c r="E897" s="27" t="n">
        <f aca="false">F897/2</f>
        <v>2340</v>
      </c>
      <c r="F897" s="16" t="n">
        <v>4680</v>
      </c>
      <c r="G897" s="15" t="s">
        <v>354</v>
      </c>
      <c r="H897" s="17" t="s">
        <v>25</v>
      </c>
      <c r="I897" s="18" t="s">
        <v>26</v>
      </c>
      <c r="J897" s="15" t="n">
        <v>2016</v>
      </c>
      <c r="K897" s="19" t="s">
        <v>27</v>
      </c>
      <c r="L897" s="15" t="s">
        <v>28</v>
      </c>
      <c r="M897" s="15" t="s">
        <v>33</v>
      </c>
      <c r="N897" s="17" t="s">
        <v>270</v>
      </c>
      <c r="O897" s="15"/>
      <c r="P897" s="15"/>
      <c r="Q897" s="21" t="s">
        <v>78</v>
      </c>
      <c r="R897" s="21"/>
      <c r="S897" s="21"/>
      <c r="T897" s="28"/>
      <c r="U897" s="24"/>
    </row>
    <row r="898" s="25" customFormat="true" ht="41.4" hidden="false" customHeight="false" outlineLevel="0" collapsed="false">
      <c r="A898" s="36" t="s">
        <v>2095</v>
      </c>
      <c r="B898" s="26" t="s">
        <v>2096</v>
      </c>
      <c r="C898" s="14" t="s">
        <v>246</v>
      </c>
      <c r="D898" s="15" t="n">
        <v>6</v>
      </c>
      <c r="E898" s="27" t="n">
        <f aca="false">F898/2</f>
        <v>12820</v>
      </c>
      <c r="F898" s="38" t="n">
        <v>25640</v>
      </c>
      <c r="G898" s="15" t="s">
        <v>36</v>
      </c>
      <c r="H898" s="17" t="s">
        <v>25</v>
      </c>
      <c r="I898" s="18" t="s">
        <v>26</v>
      </c>
      <c r="J898" s="15" t="n">
        <v>2017</v>
      </c>
      <c r="K898" s="19" t="s">
        <v>27</v>
      </c>
      <c r="L898" s="15" t="s">
        <v>28</v>
      </c>
      <c r="M898" s="15" t="s">
        <v>33</v>
      </c>
      <c r="N898" s="20" t="s">
        <v>87</v>
      </c>
      <c r="O898" s="15"/>
      <c r="P898" s="15"/>
      <c r="Q898" s="21" t="s">
        <v>247</v>
      </c>
      <c r="R898" s="21"/>
      <c r="S898" s="21"/>
      <c r="T898" s="31" t="n">
        <v>45882</v>
      </c>
      <c r="U898" s="24" t="s">
        <v>248</v>
      </c>
    </row>
    <row r="899" s="25" customFormat="true" ht="45.6" hidden="false" customHeight="false" outlineLevel="0" collapsed="false">
      <c r="A899" s="36" t="s">
        <v>2097</v>
      </c>
      <c r="B899" s="26" t="s">
        <v>2098</v>
      </c>
      <c r="C899" s="14" t="s">
        <v>2011</v>
      </c>
      <c r="D899" s="15" t="n">
        <v>6</v>
      </c>
      <c r="E899" s="27" t="n">
        <f aca="false">F899/2</f>
        <v>13950</v>
      </c>
      <c r="F899" s="16" t="n">
        <f aca="false">13950*2</f>
        <v>27900</v>
      </c>
      <c r="G899" s="15" t="s">
        <v>24</v>
      </c>
      <c r="H899" s="17" t="s">
        <v>25</v>
      </c>
      <c r="I899" s="18" t="s">
        <v>26</v>
      </c>
      <c r="J899" s="15" t="n">
        <v>2012</v>
      </c>
      <c r="K899" s="19" t="s">
        <v>27</v>
      </c>
      <c r="L899" s="15" t="s">
        <v>28</v>
      </c>
      <c r="M899" s="15" t="s">
        <v>33</v>
      </c>
      <c r="N899" s="17" t="s">
        <v>1019</v>
      </c>
      <c r="O899" s="15"/>
      <c r="P899" s="15"/>
      <c r="Q899" s="21" t="s">
        <v>55</v>
      </c>
      <c r="R899" s="21"/>
      <c r="S899" s="21"/>
      <c r="T899" s="31" t="n">
        <v>45901</v>
      </c>
      <c r="U899" s="24" t="s">
        <v>2099</v>
      </c>
    </row>
    <row r="900" s="25" customFormat="true" ht="41.4" hidden="false" customHeight="false" outlineLevel="0" collapsed="false">
      <c r="A900" s="36" t="s">
        <v>2100</v>
      </c>
      <c r="B900" s="26" t="s">
        <v>2101</v>
      </c>
      <c r="C900" s="14" t="s">
        <v>2102</v>
      </c>
      <c r="D900" s="15" t="n">
        <v>4</v>
      </c>
      <c r="E900" s="27" t="n">
        <f aca="false">F900/2</f>
        <v>3300</v>
      </c>
      <c r="F900" s="16" t="n">
        <v>6600</v>
      </c>
      <c r="G900" s="15" t="s">
        <v>36</v>
      </c>
      <c r="H900" s="17" t="s">
        <v>25</v>
      </c>
      <c r="I900" s="18" t="s">
        <v>26</v>
      </c>
      <c r="J900" s="15"/>
      <c r="K900" s="19" t="s">
        <v>27</v>
      </c>
      <c r="L900" s="15" t="s">
        <v>28</v>
      </c>
      <c r="M900" s="15" t="s">
        <v>33</v>
      </c>
      <c r="N900" s="17" t="s">
        <v>1019</v>
      </c>
      <c r="O900" s="15"/>
      <c r="P900" s="15"/>
      <c r="Q900" s="21" t="s">
        <v>419</v>
      </c>
      <c r="R900" s="21"/>
      <c r="S900" s="21"/>
      <c r="T900" s="28"/>
      <c r="U900" s="24"/>
    </row>
    <row r="901" s="25" customFormat="true" ht="41.4" hidden="false" customHeight="false" outlineLevel="0" collapsed="false">
      <c r="A901" s="36" t="s">
        <v>2103</v>
      </c>
      <c r="B901" s="26" t="s">
        <v>2104</v>
      </c>
      <c r="C901" s="14" t="s">
        <v>76</v>
      </c>
      <c r="D901" s="15" t="n">
        <v>4</v>
      </c>
      <c r="E901" s="27" t="n">
        <f aca="false">F901/2</f>
        <v>12915</v>
      </c>
      <c r="F901" s="16" t="n">
        <f aca="false">34440*0.75</f>
        <v>25830</v>
      </c>
      <c r="G901" s="15" t="s">
        <v>36</v>
      </c>
      <c r="H901" s="17" t="s">
        <v>25</v>
      </c>
      <c r="I901" s="18" t="s">
        <v>26</v>
      </c>
      <c r="J901" s="15" t="n">
        <v>2020</v>
      </c>
      <c r="K901" s="19" t="s">
        <v>27</v>
      </c>
      <c r="L901" s="15" t="s">
        <v>28</v>
      </c>
      <c r="M901" s="15" t="s">
        <v>33</v>
      </c>
      <c r="N901" s="17" t="s">
        <v>83</v>
      </c>
      <c r="O901" s="15"/>
      <c r="P901" s="15"/>
      <c r="Q901" s="21" t="s">
        <v>78</v>
      </c>
      <c r="R901" s="21" t="s">
        <v>79</v>
      </c>
      <c r="S901" s="21"/>
      <c r="T901" s="31" t="n">
        <v>45852</v>
      </c>
      <c r="U901" s="24"/>
    </row>
    <row r="902" s="25" customFormat="true" ht="45.6" hidden="false" customHeight="false" outlineLevel="0" collapsed="false">
      <c r="A902" s="36" t="s">
        <v>2105</v>
      </c>
      <c r="B902" s="26" t="s">
        <v>2106</v>
      </c>
      <c r="C902" s="14" t="s">
        <v>188</v>
      </c>
      <c r="D902" s="15" t="n">
        <v>12</v>
      </c>
      <c r="E902" s="27" t="n">
        <f aca="false">F902/2</f>
        <v>57096</v>
      </c>
      <c r="F902" s="16" t="n">
        <f aca="false">95160*1.2</f>
        <v>114192</v>
      </c>
      <c r="G902" s="15" t="s">
        <v>36</v>
      </c>
      <c r="H902" s="17" t="s">
        <v>25</v>
      </c>
      <c r="I902" s="18" t="s">
        <v>26</v>
      </c>
      <c r="J902" s="15" t="n">
        <v>2021</v>
      </c>
      <c r="K902" s="19" t="s">
        <v>27</v>
      </c>
      <c r="L902" s="15" t="s">
        <v>28</v>
      </c>
      <c r="M902" s="15" t="s">
        <v>33</v>
      </c>
      <c r="N902" s="17" t="s">
        <v>126</v>
      </c>
      <c r="O902" s="15"/>
      <c r="P902" s="15"/>
      <c r="Q902" s="21"/>
      <c r="R902" s="21"/>
      <c r="S902" s="21"/>
      <c r="T902" s="28"/>
      <c r="U902" s="24" t="s">
        <v>2107</v>
      </c>
    </row>
    <row r="903" s="25" customFormat="true" ht="41.4" hidden="false" customHeight="false" outlineLevel="0" collapsed="false">
      <c r="A903" s="36" t="s">
        <v>2108</v>
      </c>
      <c r="B903" s="26" t="s">
        <v>2109</v>
      </c>
      <c r="C903" s="14" t="s">
        <v>2110</v>
      </c>
      <c r="D903" s="15" t="n">
        <v>6</v>
      </c>
      <c r="E903" s="27" t="n">
        <v>4200</v>
      </c>
      <c r="F903" s="16" t="n">
        <v>8400</v>
      </c>
      <c r="G903" s="15" t="s">
        <v>36</v>
      </c>
      <c r="H903" s="17" t="s">
        <v>25</v>
      </c>
      <c r="I903" s="18" t="s">
        <v>26</v>
      </c>
      <c r="J903" s="15" t="n">
        <v>2009</v>
      </c>
      <c r="K903" s="19" t="s">
        <v>65</v>
      </c>
      <c r="L903" s="15" t="s">
        <v>28</v>
      </c>
      <c r="M903" s="15" t="s">
        <v>33</v>
      </c>
      <c r="N903" s="17" t="s">
        <v>126</v>
      </c>
      <c r="O903" s="15" t="s">
        <v>54</v>
      </c>
      <c r="P903" s="15"/>
      <c r="Q903" s="21" t="s">
        <v>577</v>
      </c>
      <c r="R903" s="21"/>
      <c r="S903" s="21"/>
      <c r="T903" s="28"/>
      <c r="U903" s="24"/>
    </row>
    <row r="904" s="25" customFormat="true" ht="41.4" hidden="false" customHeight="false" outlineLevel="0" collapsed="false">
      <c r="A904" s="36" t="s">
        <v>2111</v>
      </c>
      <c r="B904" s="26" t="s">
        <v>2112</v>
      </c>
      <c r="C904" s="14" t="s">
        <v>2113</v>
      </c>
      <c r="D904" s="15" t="n">
        <v>12</v>
      </c>
      <c r="E904" s="27" t="n">
        <f aca="false">F904/2</f>
        <v>28800</v>
      </c>
      <c r="F904" s="16" t="n">
        <v>57600</v>
      </c>
      <c r="G904" s="15" t="s">
        <v>36</v>
      </c>
      <c r="H904" s="17" t="s">
        <v>25</v>
      </c>
      <c r="I904" s="18" t="s">
        <v>26</v>
      </c>
      <c r="J904" s="15"/>
      <c r="K904" s="19" t="s">
        <v>27</v>
      </c>
      <c r="L904" s="15" t="s">
        <v>28</v>
      </c>
      <c r="M904" s="15" t="s">
        <v>33</v>
      </c>
      <c r="N904" s="17" t="s">
        <v>126</v>
      </c>
      <c r="O904" s="15"/>
      <c r="P904" s="15"/>
      <c r="Q904" s="21" t="s">
        <v>78</v>
      </c>
      <c r="R904" s="21"/>
      <c r="S904" s="21"/>
      <c r="T904" s="28"/>
      <c r="U904" s="24"/>
    </row>
    <row r="905" s="25" customFormat="true" ht="41.4" hidden="false" customHeight="false" outlineLevel="0" collapsed="false">
      <c r="A905" s="36" t="s">
        <v>2114</v>
      </c>
      <c r="B905" s="26" t="s">
        <v>2115</v>
      </c>
      <c r="C905" s="14" t="s">
        <v>246</v>
      </c>
      <c r="D905" s="15" t="n">
        <v>6</v>
      </c>
      <c r="E905" s="27" t="n">
        <f aca="false">F905/2</f>
        <v>12225.5</v>
      </c>
      <c r="F905" s="35" t="n">
        <v>24451</v>
      </c>
      <c r="G905" s="15" t="s">
        <v>36</v>
      </c>
      <c r="H905" s="17" t="s">
        <v>25</v>
      </c>
      <c r="I905" s="18" t="s">
        <v>26</v>
      </c>
      <c r="J905" s="15" t="n">
        <v>2019</v>
      </c>
      <c r="K905" s="19" t="s">
        <v>27</v>
      </c>
      <c r="L905" s="15" t="s">
        <v>28</v>
      </c>
      <c r="M905" s="15" t="s">
        <v>33</v>
      </c>
      <c r="N905" s="17" t="s">
        <v>126</v>
      </c>
      <c r="O905" s="15"/>
      <c r="P905" s="15"/>
      <c r="Q905" s="21"/>
      <c r="R905" s="21"/>
      <c r="S905" s="21"/>
      <c r="T905" s="31" t="n">
        <v>45882</v>
      </c>
      <c r="U905" s="34"/>
    </row>
    <row r="906" s="25" customFormat="true" ht="41.4" hidden="false" customHeight="false" outlineLevel="0" collapsed="false">
      <c r="A906" s="36" t="s">
        <v>2116</v>
      </c>
      <c r="B906" s="26"/>
      <c r="C906" s="14" t="s">
        <v>2117</v>
      </c>
      <c r="D906" s="15" t="n">
        <v>12</v>
      </c>
      <c r="E906" s="27" t="n">
        <f aca="false">F906/2</f>
        <v>3215</v>
      </c>
      <c r="F906" s="16" t="n">
        <v>6430</v>
      </c>
      <c r="G906" s="15" t="s">
        <v>36</v>
      </c>
      <c r="H906" s="17" t="s">
        <v>25</v>
      </c>
      <c r="I906" s="18" t="s">
        <v>26</v>
      </c>
      <c r="J906" s="15" t="n">
        <v>2024</v>
      </c>
      <c r="K906" s="19" t="s">
        <v>27</v>
      </c>
      <c r="L906" s="15" t="s">
        <v>28</v>
      </c>
      <c r="M906" s="15" t="s">
        <v>33</v>
      </c>
      <c r="N906" s="17"/>
      <c r="O906" s="15"/>
      <c r="P906" s="15"/>
      <c r="Q906" s="21"/>
      <c r="R906" s="21"/>
      <c r="S906" s="21"/>
      <c r="T906" s="28"/>
      <c r="U906" s="24"/>
    </row>
    <row r="907" s="25" customFormat="true" ht="41.4" hidden="false" customHeight="false" outlineLevel="0" collapsed="false">
      <c r="A907" s="36" t="s">
        <v>2118</v>
      </c>
      <c r="B907" s="26" t="s">
        <v>2119</v>
      </c>
      <c r="C907" s="14" t="s">
        <v>76</v>
      </c>
      <c r="D907" s="15" t="n">
        <v>12</v>
      </c>
      <c r="E907" s="27" t="n">
        <f aca="false">F907/2</f>
        <v>29295</v>
      </c>
      <c r="F907" s="16" t="n">
        <f aca="false">78120*0.75</f>
        <v>58590</v>
      </c>
      <c r="G907" s="15" t="s">
        <v>36</v>
      </c>
      <c r="H907" s="17" t="s">
        <v>25</v>
      </c>
      <c r="I907" s="18" t="s">
        <v>26</v>
      </c>
      <c r="J907" s="15" t="n">
        <v>2014</v>
      </c>
      <c r="K907" s="19" t="s">
        <v>27</v>
      </c>
      <c r="L907" s="15" t="s">
        <v>28</v>
      </c>
      <c r="M907" s="15" t="s">
        <v>33</v>
      </c>
      <c r="N907" s="17" t="s">
        <v>77</v>
      </c>
      <c r="O907" s="15"/>
      <c r="P907" s="15"/>
      <c r="Q907" s="21" t="s">
        <v>78</v>
      </c>
      <c r="R907" s="21" t="s">
        <v>79</v>
      </c>
      <c r="S907" s="21"/>
      <c r="T907" s="31" t="n">
        <v>45852</v>
      </c>
      <c r="U907" s="24"/>
    </row>
    <row r="908" s="25" customFormat="true" ht="41.4" hidden="false" customHeight="false" outlineLevel="0" collapsed="false">
      <c r="A908" s="36" t="s">
        <v>2120</v>
      </c>
      <c r="B908" s="26" t="s">
        <v>2121</v>
      </c>
      <c r="C908" s="14"/>
      <c r="D908" s="15" t="n">
        <v>4</v>
      </c>
      <c r="E908" s="27" t="n">
        <f aca="false">F908/2</f>
        <v>1300</v>
      </c>
      <c r="F908" s="16" t="n">
        <v>2600</v>
      </c>
      <c r="G908" s="15" t="s">
        <v>36</v>
      </c>
      <c r="H908" s="17" t="s">
        <v>25</v>
      </c>
      <c r="I908" s="18" t="s">
        <v>26</v>
      </c>
      <c r="J908" s="15" t="n">
        <v>2017</v>
      </c>
      <c r="K908" s="19" t="s">
        <v>27</v>
      </c>
      <c r="L908" s="15" t="s">
        <v>28</v>
      </c>
      <c r="M908" s="15" t="s">
        <v>33</v>
      </c>
      <c r="N908" s="17" t="s">
        <v>126</v>
      </c>
      <c r="O908" s="15"/>
      <c r="P908" s="15"/>
      <c r="Q908" s="21" t="s">
        <v>78</v>
      </c>
      <c r="R908" s="21"/>
      <c r="S908" s="21"/>
      <c r="T908" s="28"/>
      <c r="U908" s="24"/>
    </row>
    <row r="909" s="25" customFormat="true" ht="41.4" hidden="false" customHeight="false" outlineLevel="0" collapsed="false">
      <c r="A909" s="36" t="s">
        <v>2122</v>
      </c>
      <c r="B909" s="26" t="s">
        <v>2123</v>
      </c>
      <c r="C909" s="14" t="s">
        <v>434</v>
      </c>
      <c r="D909" s="15" t="n">
        <v>12</v>
      </c>
      <c r="E909" s="27" t="n">
        <f aca="false">F909/2</f>
        <v>55200</v>
      </c>
      <c r="F909" s="16" t="n">
        <v>110400</v>
      </c>
      <c r="G909" s="15" t="s">
        <v>36</v>
      </c>
      <c r="H909" s="17" t="s">
        <v>25</v>
      </c>
      <c r="I909" s="18" t="s">
        <v>26</v>
      </c>
      <c r="J909" s="15" t="n">
        <v>2020</v>
      </c>
      <c r="K909" s="19" t="s">
        <v>27</v>
      </c>
      <c r="L909" s="15" t="s">
        <v>28</v>
      </c>
      <c r="M909" s="15" t="s">
        <v>33</v>
      </c>
      <c r="N909" s="20"/>
      <c r="O909" s="15"/>
      <c r="P909" s="15"/>
      <c r="Q909" s="21" t="s">
        <v>78</v>
      </c>
      <c r="R909" s="21"/>
      <c r="S909" s="21"/>
      <c r="T909" s="31" t="n">
        <v>45880</v>
      </c>
      <c r="U909" s="34"/>
    </row>
    <row r="910" s="25" customFormat="true" ht="41.4" hidden="false" customHeight="false" outlineLevel="0" collapsed="false">
      <c r="A910" s="36" t="s">
        <v>2124</v>
      </c>
      <c r="B910" s="26" t="s">
        <v>2125</v>
      </c>
      <c r="C910" s="14" t="s">
        <v>246</v>
      </c>
      <c r="D910" s="15" t="n">
        <v>6</v>
      </c>
      <c r="E910" s="27" t="n">
        <f aca="false">F910/2</f>
        <v>11019</v>
      </c>
      <c r="F910" s="38" t="n">
        <v>22038</v>
      </c>
      <c r="G910" s="15" t="s">
        <v>36</v>
      </c>
      <c r="H910" s="17" t="s">
        <v>25</v>
      </c>
      <c r="I910" s="18" t="s">
        <v>26</v>
      </c>
      <c r="J910" s="15" t="n">
        <v>2017</v>
      </c>
      <c r="K910" s="19" t="s">
        <v>27</v>
      </c>
      <c r="L910" s="15" t="s">
        <v>28</v>
      </c>
      <c r="M910" s="15" t="s">
        <v>33</v>
      </c>
      <c r="N910" s="20" t="s">
        <v>66</v>
      </c>
      <c r="O910" s="15"/>
      <c r="P910" s="15"/>
      <c r="Q910" s="21" t="s">
        <v>247</v>
      </c>
      <c r="R910" s="21"/>
      <c r="S910" s="21"/>
      <c r="T910" s="31" t="n">
        <v>45882</v>
      </c>
      <c r="U910" s="24" t="s">
        <v>248</v>
      </c>
    </row>
    <row r="911" s="25" customFormat="true" ht="41.4" hidden="false" customHeight="false" outlineLevel="0" collapsed="false">
      <c r="A911" s="36" t="s">
        <v>2126</v>
      </c>
      <c r="B911" s="26" t="s">
        <v>2127</v>
      </c>
      <c r="C911" s="14" t="s">
        <v>246</v>
      </c>
      <c r="D911" s="15" t="n">
        <v>6</v>
      </c>
      <c r="E911" s="27" t="n">
        <f aca="false">F911/2</f>
        <v>12820</v>
      </c>
      <c r="F911" s="38" t="n">
        <v>25640</v>
      </c>
      <c r="G911" s="15" t="s">
        <v>36</v>
      </c>
      <c r="H911" s="17" t="s">
        <v>25</v>
      </c>
      <c r="I911" s="18" t="s">
        <v>26</v>
      </c>
      <c r="J911" s="15" t="n">
        <v>2017</v>
      </c>
      <c r="K911" s="19" t="s">
        <v>27</v>
      </c>
      <c r="L911" s="15" t="s">
        <v>28</v>
      </c>
      <c r="M911" s="15" t="s">
        <v>33</v>
      </c>
      <c r="N911" s="20" t="s">
        <v>66</v>
      </c>
      <c r="O911" s="15"/>
      <c r="P911" s="15"/>
      <c r="Q911" s="21" t="s">
        <v>247</v>
      </c>
      <c r="R911" s="21"/>
      <c r="S911" s="21"/>
      <c r="T911" s="31" t="n">
        <v>45882</v>
      </c>
      <c r="U911" s="24" t="s">
        <v>248</v>
      </c>
    </row>
    <row r="912" s="25" customFormat="true" ht="41.4" hidden="false" customHeight="false" outlineLevel="0" collapsed="false">
      <c r="A912" s="36" t="s">
        <v>2128</v>
      </c>
      <c r="B912" s="26" t="s">
        <v>2129</v>
      </c>
      <c r="C912" s="14" t="s">
        <v>2130</v>
      </c>
      <c r="D912" s="15" t="n">
        <v>6</v>
      </c>
      <c r="E912" s="27" t="n">
        <f aca="false">F912/2</f>
        <v>7800</v>
      </c>
      <c r="F912" s="16" t="n">
        <v>15600</v>
      </c>
      <c r="G912" s="15" t="s">
        <v>36</v>
      </c>
      <c r="H912" s="17" t="s">
        <v>25</v>
      </c>
      <c r="I912" s="18" t="s">
        <v>26</v>
      </c>
      <c r="J912" s="15" t="n">
        <v>2021</v>
      </c>
      <c r="K912" s="19" t="s">
        <v>27</v>
      </c>
      <c r="L912" s="15" t="s">
        <v>28</v>
      </c>
      <c r="M912" s="15" t="s">
        <v>33</v>
      </c>
      <c r="N912" s="17" t="s">
        <v>53</v>
      </c>
      <c r="O912" s="15"/>
      <c r="P912" s="15"/>
      <c r="Q912" s="21"/>
      <c r="R912" s="21"/>
      <c r="S912" s="21"/>
      <c r="T912" s="28"/>
      <c r="U912" s="34"/>
    </row>
    <row r="913" s="25" customFormat="true" ht="41.4" hidden="false" customHeight="false" outlineLevel="0" collapsed="false">
      <c r="A913" s="36" t="s">
        <v>2131</v>
      </c>
      <c r="B913" s="26" t="s">
        <v>2132</v>
      </c>
      <c r="C913" s="14" t="s">
        <v>246</v>
      </c>
      <c r="D913" s="15" t="n">
        <v>6</v>
      </c>
      <c r="E913" s="27" t="n">
        <f aca="false">F913/2</f>
        <v>10358.5</v>
      </c>
      <c r="F913" s="38" t="n">
        <v>20717</v>
      </c>
      <c r="G913" s="15" t="s">
        <v>36</v>
      </c>
      <c r="H913" s="17" t="s">
        <v>25</v>
      </c>
      <c r="I913" s="18" t="s">
        <v>26</v>
      </c>
      <c r="J913" s="15" t="n">
        <v>2017</v>
      </c>
      <c r="K913" s="19" t="s">
        <v>27</v>
      </c>
      <c r="L913" s="15" t="s">
        <v>28</v>
      </c>
      <c r="M913" s="15" t="s">
        <v>33</v>
      </c>
      <c r="N913" s="20"/>
      <c r="O913" s="15"/>
      <c r="P913" s="15"/>
      <c r="Q913" s="21" t="s">
        <v>247</v>
      </c>
      <c r="R913" s="21"/>
      <c r="S913" s="21"/>
      <c r="T913" s="31" t="n">
        <v>45882</v>
      </c>
      <c r="U913" s="24" t="s">
        <v>248</v>
      </c>
    </row>
    <row r="914" s="25" customFormat="true" ht="41.4" hidden="false" customHeight="false" outlineLevel="0" collapsed="false">
      <c r="A914" s="36" t="s">
        <v>2133</v>
      </c>
      <c r="B914" s="26" t="s">
        <v>2134</v>
      </c>
      <c r="C914" s="14" t="s">
        <v>122</v>
      </c>
      <c r="D914" s="15" t="n">
        <v>12</v>
      </c>
      <c r="E914" s="27" t="n">
        <v>23628</v>
      </c>
      <c r="F914" s="16" t="n">
        <v>39204</v>
      </c>
      <c r="G914" s="15" t="s">
        <v>36</v>
      </c>
      <c r="H914" s="17" t="s">
        <v>25</v>
      </c>
      <c r="I914" s="18" t="s">
        <v>26</v>
      </c>
      <c r="J914" s="15" t="n">
        <v>2017</v>
      </c>
      <c r="K914" s="19" t="s">
        <v>27</v>
      </c>
      <c r="L914" s="15" t="s">
        <v>28</v>
      </c>
      <c r="M914" s="15" t="s">
        <v>33</v>
      </c>
      <c r="N914" s="17" t="s">
        <v>96</v>
      </c>
      <c r="O914" s="15"/>
      <c r="P914" s="15"/>
      <c r="Q914" s="21"/>
      <c r="R914" s="21"/>
      <c r="S914" s="21"/>
      <c r="T914" s="28"/>
      <c r="U914" s="24"/>
    </row>
    <row r="915" s="25" customFormat="true" ht="41.4" hidden="false" customHeight="false" outlineLevel="0" collapsed="false">
      <c r="A915" s="36" t="s">
        <v>2135</v>
      </c>
      <c r="B915" s="26" t="s">
        <v>2136</v>
      </c>
      <c r="C915" s="14" t="s">
        <v>76</v>
      </c>
      <c r="D915" s="15" t="n">
        <v>4</v>
      </c>
      <c r="E915" s="27" t="n">
        <f aca="false">F915/2</f>
        <v>10395</v>
      </c>
      <c r="F915" s="16" t="n">
        <f aca="false">27720*0.75</f>
        <v>20790</v>
      </c>
      <c r="G915" s="15" t="s">
        <v>36</v>
      </c>
      <c r="H915" s="17" t="s">
        <v>25</v>
      </c>
      <c r="I915" s="18" t="s">
        <v>26</v>
      </c>
      <c r="J915" s="15" t="n">
        <v>2014</v>
      </c>
      <c r="K915" s="19" t="s">
        <v>27</v>
      </c>
      <c r="L915" s="15" t="s">
        <v>28</v>
      </c>
      <c r="M915" s="15" t="s">
        <v>33</v>
      </c>
      <c r="N915" s="17" t="s">
        <v>77</v>
      </c>
      <c r="O915" s="15"/>
      <c r="P915" s="15"/>
      <c r="Q915" s="21" t="s">
        <v>78</v>
      </c>
      <c r="R915" s="21" t="s">
        <v>79</v>
      </c>
      <c r="S915" s="21"/>
      <c r="T915" s="31" t="n">
        <v>45852</v>
      </c>
      <c r="U915" s="24"/>
    </row>
    <row r="916" s="25" customFormat="true" ht="41.4" hidden="false" customHeight="false" outlineLevel="0" collapsed="false">
      <c r="A916" s="36" t="s">
        <v>2137</v>
      </c>
      <c r="B916" s="26" t="s">
        <v>2138</v>
      </c>
      <c r="C916" s="14" t="s">
        <v>179</v>
      </c>
      <c r="D916" s="15" t="n">
        <v>4</v>
      </c>
      <c r="E916" s="27" t="n">
        <f aca="false">F916/2</f>
        <v>4800</v>
      </c>
      <c r="F916" s="16" t="n">
        <f aca="false">8000*1.2</f>
        <v>9600</v>
      </c>
      <c r="G916" s="15" t="s">
        <v>36</v>
      </c>
      <c r="H916" s="17" t="s">
        <v>25</v>
      </c>
      <c r="I916" s="18" t="s">
        <v>26</v>
      </c>
      <c r="J916" s="15" t="n">
        <v>2017</v>
      </c>
      <c r="K916" s="19" t="s">
        <v>27</v>
      </c>
      <c r="L916" s="15" t="s">
        <v>28</v>
      </c>
      <c r="M916" s="15" t="s">
        <v>33</v>
      </c>
      <c r="N916" s="17" t="s">
        <v>53</v>
      </c>
      <c r="O916" s="15"/>
      <c r="P916" s="15"/>
      <c r="Q916" s="21"/>
      <c r="R916" s="21"/>
      <c r="S916" s="21"/>
      <c r="T916" s="28"/>
      <c r="U916" s="24"/>
    </row>
    <row r="917" s="25" customFormat="true" ht="41.4" hidden="false" customHeight="false" outlineLevel="0" collapsed="false">
      <c r="A917" s="36" t="s">
        <v>2139</v>
      </c>
      <c r="B917" s="26"/>
      <c r="C917" s="14" t="s">
        <v>293</v>
      </c>
      <c r="D917" s="15" t="n">
        <v>4</v>
      </c>
      <c r="E917" s="16" t="n">
        <f aca="false">F917/2</f>
        <v>3120</v>
      </c>
      <c r="F917" s="16" t="n">
        <f aca="false">5200*1.2</f>
        <v>6240</v>
      </c>
      <c r="G917" s="15" t="s">
        <v>36</v>
      </c>
      <c r="H917" s="17" t="s">
        <v>25</v>
      </c>
      <c r="I917" s="18" t="s">
        <v>26</v>
      </c>
      <c r="J917" s="15" t="n">
        <v>2025</v>
      </c>
      <c r="K917" s="19" t="s">
        <v>27</v>
      </c>
      <c r="L917" s="15" t="s">
        <v>28</v>
      </c>
      <c r="M917" s="15" t="s">
        <v>33</v>
      </c>
      <c r="N917" s="17"/>
      <c r="O917" s="15"/>
      <c r="P917" s="15"/>
      <c r="Q917" s="21"/>
      <c r="R917" s="21"/>
      <c r="S917" s="21"/>
      <c r="T917" s="31" t="n">
        <v>45909</v>
      </c>
      <c r="U917" s="24"/>
    </row>
    <row r="918" s="25" customFormat="true" ht="41.4" hidden="false" customHeight="false" outlineLevel="0" collapsed="false">
      <c r="A918" s="36" t="s">
        <v>2140</v>
      </c>
      <c r="B918" s="26"/>
      <c r="C918" s="14" t="s">
        <v>293</v>
      </c>
      <c r="D918" s="15" t="n">
        <v>4</v>
      </c>
      <c r="E918" s="16" t="n">
        <f aca="false">F918/2</f>
        <v>3120</v>
      </c>
      <c r="F918" s="16" t="n">
        <f aca="false">5200*1.2</f>
        <v>6240</v>
      </c>
      <c r="G918" s="15" t="s">
        <v>36</v>
      </c>
      <c r="H918" s="17" t="s">
        <v>25</v>
      </c>
      <c r="I918" s="18" t="s">
        <v>26</v>
      </c>
      <c r="J918" s="15" t="n">
        <v>2025</v>
      </c>
      <c r="K918" s="19" t="s">
        <v>27</v>
      </c>
      <c r="L918" s="15" t="s">
        <v>28</v>
      </c>
      <c r="M918" s="15" t="s">
        <v>33</v>
      </c>
      <c r="N918" s="17"/>
      <c r="O918" s="15"/>
      <c r="P918" s="15"/>
      <c r="Q918" s="21"/>
      <c r="R918" s="21"/>
      <c r="S918" s="21"/>
      <c r="T918" s="31" t="n">
        <v>45909</v>
      </c>
      <c r="U918" s="24"/>
    </row>
    <row r="919" s="25" customFormat="true" ht="41.4" hidden="false" customHeight="false" outlineLevel="0" collapsed="false">
      <c r="A919" s="36" t="s">
        <v>2141</v>
      </c>
      <c r="B919" s="26" t="s">
        <v>2142</v>
      </c>
      <c r="C919" s="14" t="s">
        <v>1982</v>
      </c>
      <c r="D919" s="15" t="n">
        <v>6</v>
      </c>
      <c r="E919" s="27" t="n">
        <f aca="false">F919/2</f>
        <v>144</v>
      </c>
      <c r="F919" s="16" t="n">
        <v>288</v>
      </c>
      <c r="G919" s="15" t="s">
        <v>36</v>
      </c>
      <c r="H919" s="17" t="s">
        <v>25</v>
      </c>
      <c r="I919" s="18" t="s">
        <v>26</v>
      </c>
      <c r="J919" s="15" t="n">
        <v>2017</v>
      </c>
      <c r="K919" s="19" t="s">
        <v>27</v>
      </c>
      <c r="L919" s="15" t="s">
        <v>28</v>
      </c>
      <c r="M919" s="15" t="s">
        <v>33</v>
      </c>
      <c r="N919" s="20"/>
      <c r="O919" s="15"/>
      <c r="P919" s="15"/>
      <c r="Q919" s="21"/>
      <c r="R919" s="21"/>
      <c r="S919" s="21"/>
      <c r="T919" s="28"/>
      <c r="U919" s="34"/>
    </row>
    <row r="920" s="25" customFormat="true" ht="41.4" hidden="false" customHeight="false" outlineLevel="0" collapsed="false">
      <c r="A920" s="36" t="s">
        <v>2143</v>
      </c>
      <c r="B920" s="26"/>
      <c r="C920" s="14" t="s">
        <v>1724</v>
      </c>
      <c r="D920" s="15" t="n">
        <v>4</v>
      </c>
      <c r="E920" s="16" t="n">
        <f aca="false">F920/2</f>
        <v>788.5</v>
      </c>
      <c r="F920" s="16" t="n">
        <f aca="false">CEILING(1314*1.2,1)</f>
        <v>1577</v>
      </c>
      <c r="G920" s="15" t="s">
        <v>36</v>
      </c>
      <c r="H920" s="17" t="s">
        <v>25</v>
      </c>
      <c r="I920" s="18" t="s">
        <v>26</v>
      </c>
      <c r="J920" s="15" t="n">
        <v>2024</v>
      </c>
      <c r="K920" s="19" t="s">
        <v>1725</v>
      </c>
      <c r="L920" s="15" t="s">
        <v>28</v>
      </c>
      <c r="M920" s="15" t="s">
        <v>33</v>
      </c>
      <c r="N920" s="17"/>
      <c r="O920" s="15"/>
      <c r="P920" s="15"/>
      <c r="Q920" s="21"/>
      <c r="R920" s="21"/>
      <c r="S920" s="21"/>
      <c r="T920" s="28"/>
      <c r="U920" s="24"/>
    </row>
    <row r="921" s="25" customFormat="true" ht="41.4" hidden="false" customHeight="false" outlineLevel="0" collapsed="false">
      <c r="A921" s="36" t="s">
        <v>2144</v>
      </c>
      <c r="B921" s="26" t="s">
        <v>2145</v>
      </c>
      <c r="C921" s="14" t="s">
        <v>1329</v>
      </c>
      <c r="D921" s="15" t="n">
        <v>12</v>
      </c>
      <c r="E921" s="27" t="n">
        <f aca="false">F921/2</f>
        <v>300000</v>
      </c>
      <c r="F921" s="16" t="n">
        <v>600000</v>
      </c>
      <c r="G921" s="15" t="s">
        <v>36</v>
      </c>
      <c r="H921" s="17" t="s">
        <v>25</v>
      </c>
      <c r="I921" s="18" t="s">
        <v>26</v>
      </c>
      <c r="J921" s="15" t="n">
        <v>2019</v>
      </c>
      <c r="K921" s="19" t="s">
        <v>27</v>
      </c>
      <c r="L921" s="15" t="s">
        <v>28</v>
      </c>
      <c r="M921" s="15" t="s">
        <v>33</v>
      </c>
      <c r="N921" s="20" t="s">
        <v>40</v>
      </c>
      <c r="O921" s="15"/>
      <c r="P921" s="15"/>
      <c r="Q921" s="21"/>
      <c r="R921" s="21"/>
      <c r="S921" s="21"/>
      <c r="T921" s="28"/>
      <c r="U921" s="34"/>
    </row>
    <row r="922" s="25" customFormat="true" ht="45.6" hidden="false" customHeight="false" outlineLevel="0" collapsed="false">
      <c r="A922" s="36" t="s">
        <v>2146</v>
      </c>
      <c r="B922" s="26" t="s">
        <v>2147</v>
      </c>
      <c r="C922" s="14" t="s">
        <v>246</v>
      </c>
      <c r="D922" s="15" t="n">
        <v>12</v>
      </c>
      <c r="E922" s="27" t="n">
        <f aca="false">F922/2</f>
        <v>12046</v>
      </c>
      <c r="F922" s="16" t="n">
        <v>24092</v>
      </c>
      <c r="G922" s="15" t="s">
        <v>24</v>
      </c>
      <c r="H922" s="17" t="s">
        <v>25</v>
      </c>
      <c r="I922" s="18" t="s">
        <v>26</v>
      </c>
      <c r="J922" s="15" t="n">
        <v>2000</v>
      </c>
      <c r="K922" s="19" t="s">
        <v>27</v>
      </c>
      <c r="L922" s="15" t="s">
        <v>28</v>
      </c>
      <c r="M922" s="15" t="s">
        <v>33</v>
      </c>
      <c r="N922" s="17" t="s">
        <v>53</v>
      </c>
      <c r="O922" s="15"/>
      <c r="P922" s="15"/>
      <c r="Q922" s="21" t="s">
        <v>280</v>
      </c>
      <c r="R922" s="21"/>
      <c r="S922" s="21"/>
      <c r="T922" s="31" t="n">
        <v>45908</v>
      </c>
      <c r="U922" s="24" t="s">
        <v>2148</v>
      </c>
    </row>
    <row r="923" s="25" customFormat="true" ht="41.4" hidden="false" customHeight="false" outlineLevel="0" collapsed="false">
      <c r="A923" s="36" t="s">
        <v>2149</v>
      </c>
      <c r="B923" s="26" t="s">
        <v>2150</v>
      </c>
      <c r="C923" s="14" t="s">
        <v>762</v>
      </c>
      <c r="D923" s="15" t="n">
        <v>4</v>
      </c>
      <c r="E923" s="27" t="n">
        <f aca="false">F923/2</f>
        <v>50</v>
      </c>
      <c r="F923" s="16" t="n">
        <v>100</v>
      </c>
      <c r="G923" s="15" t="s">
        <v>36</v>
      </c>
      <c r="H923" s="17" t="s">
        <v>25</v>
      </c>
      <c r="I923" s="18" t="s">
        <v>26</v>
      </c>
      <c r="J923" s="15" t="n">
        <v>2018</v>
      </c>
      <c r="K923" s="19" t="s">
        <v>763</v>
      </c>
      <c r="L923" s="15" t="s">
        <v>28</v>
      </c>
      <c r="M923" s="15" t="s">
        <v>33</v>
      </c>
      <c r="N923" s="20"/>
      <c r="O923" s="15"/>
      <c r="P923" s="15"/>
      <c r="Q923" s="21"/>
      <c r="R923" s="21"/>
      <c r="S923" s="21"/>
      <c r="T923" s="28"/>
      <c r="U923" s="24"/>
    </row>
    <row r="924" s="25" customFormat="true" ht="41.4" hidden="false" customHeight="false" outlineLevel="0" collapsed="false">
      <c r="A924" s="36" t="s">
        <v>2151</v>
      </c>
      <c r="B924" s="26"/>
      <c r="C924" s="14" t="s">
        <v>122</v>
      </c>
      <c r="D924" s="15" t="n">
        <v>12</v>
      </c>
      <c r="E924" s="27" t="n">
        <v>14190</v>
      </c>
      <c r="F924" s="16" t="n">
        <v>28380</v>
      </c>
      <c r="G924" s="15" t="s">
        <v>36</v>
      </c>
      <c r="H924" s="17" t="s">
        <v>25</v>
      </c>
      <c r="I924" s="18" t="s">
        <v>26</v>
      </c>
      <c r="J924" s="15" t="n">
        <v>2025</v>
      </c>
      <c r="K924" s="19" t="s">
        <v>27</v>
      </c>
      <c r="L924" s="15" t="s">
        <v>28</v>
      </c>
      <c r="M924" s="15" t="s">
        <v>33</v>
      </c>
      <c r="N924" s="17"/>
      <c r="O924" s="15"/>
      <c r="P924" s="15"/>
      <c r="Q924" s="21"/>
      <c r="R924" s="21"/>
      <c r="S924" s="21"/>
      <c r="T924" s="28"/>
      <c r="U924" s="24"/>
    </row>
    <row r="925" s="25" customFormat="true" ht="41.4" hidden="false" customHeight="false" outlineLevel="0" collapsed="false">
      <c r="A925" s="36" t="s">
        <v>2152</v>
      </c>
      <c r="B925" s="26" t="s">
        <v>2096</v>
      </c>
      <c r="C925" s="14" t="s">
        <v>246</v>
      </c>
      <c r="D925" s="15" t="n">
        <v>6</v>
      </c>
      <c r="E925" s="27" t="n">
        <f aca="false">F925/2</f>
        <v>12820</v>
      </c>
      <c r="F925" s="38" t="n">
        <v>25640</v>
      </c>
      <c r="G925" s="15" t="s">
        <v>36</v>
      </c>
      <c r="H925" s="17" t="s">
        <v>25</v>
      </c>
      <c r="I925" s="18" t="s">
        <v>26</v>
      </c>
      <c r="J925" s="15" t="n">
        <v>2017</v>
      </c>
      <c r="K925" s="19" t="s">
        <v>27</v>
      </c>
      <c r="L925" s="15" t="s">
        <v>28</v>
      </c>
      <c r="M925" s="15" t="s">
        <v>33</v>
      </c>
      <c r="N925" s="20" t="s">
        <v>66</v>
      </c>
      <c r="O925" s="15"/>
      <c r="P925" s="15"/>
      <c r="Q925" s="21" t="s">
        <v>247</v>
      </c>
      <c r="R925" s="21"/>
      <c r="S925" s="21"/>
      <c r="T925" s="31" t="n">
        <v>45882</v>
      </c>
      <c r="U925" s="24" t="s">
        <v>248</v>
      </c>
    </row>
    <row r="926" s="25" customFormat="true" ht="41.4" hidden="false" customHeight="false" outlineLevel="0" collapsed="false">
      <c r="A926" s="36" t="s">
        <v>2153</v>
      </c>
      <c r="B926" s="26" t="s">
        <v>2154</v>
      </c>
      <c r="C926" s="14" t="s">
        <v>148</v>
      </c>
      <c r="D926" s="15" t="n">
        <v>4</v>
      </c>
      <c r="E926" s="27" t="n">
        <f aca="false">F926/2</f>
        <v>4668.5</v>
      </c>
      <c r="F926" s="35" t="n">
        <f aca="false">FLOOR(7781*1.2,1)</f>
        <v>9337</v>
      </c>
      <c r="G926" s="15" t="s">
        <v>36</v>
      </c>
      <c r="H926" s="17" t="s">
        <v>25</v>
      </c>
      <c r="I926" s="18" t="s">
        <v>26</v>
      </c>
      <c r="J926" s="15" t="n">
        <v>2020</v>
      </c>
      <c r="K926" s="19" t="s">
        <v>27</v>
      </c>
      <c r="L926" s="15" t="s">
        <v>28</v>
      </c>
      <c r="M926" s="15" t="s">
        <v>33</v>
      </c>
      <c r="N926" s="17" t="s">
        <v>83</v>
      </c>
      <c r="O926" s="15" t="s">
        <v>2155</v>
      </c>
      <c r="P926" s="15"/>
      <c r="Q926" s="21"/>
      <c r="R926" s="21"/>
      <c r="S926" s="21"/>
      <c r="T926" s="31" t="n">
        <v>45882</v>
      </c>
      <c r="U926" s="34"/>
    </row>
    <row r="927" s="25" customFormat="true" ht="41.4" hidden="false" customHeight="false" outlineLevel="0" collapsed="false">
      <c r="A927" s="36" t="s">
        <v>2156</v>
      </c>
      <c r="B927" s="26" t="s">
        <v>2157</v>
      </c>
      <c r="C927" s="14" t="s">
        <v>932</v>
      </c>
      <c r="D927" s="15" t="n">
        <v>6</v>
      </c>
      <c r="E927" s="27" t="n">
        <f aca="false">F927/2</f>
        <v>5040</v>
      </c>
      <c r="F927" s="16" t="n">
        <v>10080</v>
      </c>
      <c r="G927" s="15" t="s">
        <v>24</v>
      </c>
      <c r="H927" s="17" t="s">
        <v>25</v>
      </c>
      <c r="I927" s="18" t="s">
        <v>26</v>
      </c>
      <c r="J927" s="15" t="n">
        <v>2012</v>
      </c>
      <c r="K927" s="19" t="s">
        <v>27</v>
      </c>
      <c r="L927" s="15" t="s">
        <v>28</v>
      </c>
      <c r="M927" s="15" t="s">
        <v>33</v>
      </c>
      <c r="N927" s="17" t="s">
        <v>83</v>
      </c>
      <c r="O927" s="15"/>
      <c r="P927" s="15"/>
      <c r="Q927" s="21" t="s">
        <v>302</v>
      </c>
      <c r="R927" s="21"/>
      <c r="S927" s="21"/>
      <c r="T927" s="28"/>
      <c r="U927" s="24"/>
    </row>
    <row r="928" s="25" customFormat="true" ht="41.4" hidden="false" customHeight="false" outlineLevel="0" collapsed="false">
      <c r="A928" s="36" t="s">
        <v>2158</v>
      </c>
      <c r="B928" s="26" t="s">
        <v>2159</v>
      </c>
      <c r="C928" s="14" t="s">
        <v>2160</v>
      </c>
      <c r="D928" s="15" t="n">
        <v>8</v>
      </c>
      <c r="E928" s="27" t="n">
        <f aca="false">F928/2</f>
        <v>1100</v>
      </c>
      <c r="F928" s="16" t="n">
        <v>2200</v>
      </c>
      <c r="G928" s="15" t="s">
        <v>24</v>
      </c>
      <c r="H928" s="17" t="s">
        <v>25</v>
      </c>
      <c r="I928" s="18" t="s">
        <v>26</v>
      </c>
      <c r="J928" s="15" t="n">
        <v>2000</v>
      </c>
      <c r="K928" s="19" t="s">
        <v>27</v>
      </c>
      <c r="L928" s="15" t="s">
        <v>28</v>
      </c>
      <c r="M928" s="15" t="s">
        <v>33</v>
      </c>
      <c r="N928" s="17" t="s">
        <v>1227</v>
      </c>
      <c r="O928" s="15"/>
      <c r="P928" s="15"/>
      <c r="Q928" s="21" t="s">
        <v>47</v>
      </c>
      <c r="R928" s="21"/>
      <c r="S928" s="21"/>
      <c r="T928" s="31" t="n">
        <v>45899</v>
      </c>
      <c r="U928" s="24" t="s">
        <v>2161</v>
      </c>
    </row>
    <row r="929" s="25" customFormat="true" ht="41.4" hidden="false" customHeight="false" outlineLevel="0" collapsed="false">
      <c r="A929" s="36" t="s">
        <v>2162</v>
      </c>
      <c r="B929" s="26"/>
      <c r="C929" s="14" t="s">
        <v>35</v>
      </c>
      <c r="D929" s="15" t="n">
        <v>6</v>
      </c>
      <c r="E929" s="27" t="n">
        <f aca="false">F929/2</f>
        <v>50</v>
      </c>
      <c r="F929" s="16" t="n">
        <v>100</v>
      </c>
      <c r="G929" s="15" t="s">
        <v>36</v>
      </c>
      <c r="H929" s="17" t="s">
        <v>25</v>
      </c>
      <c r="I929" s="18" t="s">
        <v>26</v>
      </c>
      <c r="J929" s="15" t="n">
        <v>2025</v>
      </c>
      <c r="K929" s="19" t="s">
        <v>37</v>
      </c>
      <c r="L929" s="15" t="s">
        <v>28</v>
      </c>
      <c r="M929" s="15"/>
      <c r="N929" s="17"/>
      <c r="O929" s="15"/>
      <c r="P929" s="15"/>
      <c r="Q929" s="21"/>
      <c r="R929" s="21"/>
      <c r="S929" s="21"/>
      <c r="T929" s="28"/>
      <c r="U929" s="24"/>
    </row>
    <row r="930" s="25" customFormat="true" ht="41.4" hidden="false" customHeight="false" outlineLevel="0" collapsed="false">
      <c r="A930" s="36" t="s">
        <v>2163</v>
      </c>
      <c r="B930" s="26"/>
      <c r="C930" s="14" t="s">
        <v>107</v>
      </c>
      <c r="D930" s="15" t="n">
        <v>6</v>
      </c>
      <c r="E930" s="27" t="n">
        <f aca="false">F930/2</f>
        <v>1286</v>
      </c>
      <c r="F930" s="16" t="n">
        <v>2572</v>
      </c>
      <c r="G930" s="15" t="s">
        <v>36</v>
      </c>
      <c r="H930" s="17" t="s">
        <v>25</v>
      </c>
      <c r="I930" s="18" t="s">
        <v>26</v>
      </c>
      <c r="J930" s="15" t="n">
        <v>2024</v>
      </c>
      <c r="K930" s="19" t="s">
        <v>108</v>
      </c>
      <c r="L930" s="15" t="s">
        <v>28</v>
      </c>
      <c r="M930" s="15" t="s">
        <v>33</v>
      </c>
      <c r="N930" s="17" t="s">
        <v>270</v>
      </c>
      <c r="O930" s="15" t="s">
        <v>203</v>
      </c>
      <c r="P930" s="15"/>
      <c r="Q930" s="21"/>
      <c r="R930" s="21"/>
      <c r="S930" s="21"/>
      <c r="T930" s="31" t="n">
        <v>45884</v>
      </c>
      <c r="U930" s="24"/>
    </row>
    <row r="931" s="25" customFormat="true" ht="41.4" hidden="false" customHeight="false" outlineLevel="0" collapsed="false">
      <c r="A931" s="36" t="s">
        <v>2164</v>
      </c>
      <c r="B931" s="26" t="s">
        <v>2165</v>
      </c>
      <c r="C931" s="14" t="s">
        <v>2166</v>
      </c>
      <c r="D931" s="15" t="n">
        <v>6</v>
      </c>
      <c r="E931" s="27" t="n">
        <f aca="false">F931/2</f>
        <v>2850</v>
      </c>
      <c r="F931" s="16" t="n">
        <f aca="false">2850*2</f>
        <v>5700</v>
      </c>
      <c r="G931" s="15" t="s">
        <v>36</v>
      </c>
      <c r="H931" s="17" t="s">
        <v>25</v>
      </c>
      <c r="I931" s="18" t="s">
        <v>26</v>
      </c>
      <c r="J931" s="15" t="n">
        <v>2020</v>
      </c>
      <c r="K931" s="19" t="s">
        <v>2167</v>
      </c>
      <c r="L931" s="15" t="s">
        <v>28</v>
      </c>
      <c r="M931" s="15" t="s">
        <v>33</v>
      </c>
      <c r="N931" s="17" t="s">
        <v>270</v>
      </c>
      <c r="O931" s="15" t="s">
        <v>203</v>
      </c>
      <c r="P931" s="15"/>
      <c r="Q931" s="21" t="s">
        <v>78</v>
      </c>
      <c r="R931" s="21"/>
      <c r="S931" s="21"/>
      <c r="T931" s="31" t="n">
        <v>45883</v>
      </c>
      <c r="U931" s="24"/>
    </row>
    <row r="932" s="25" customFormat="true" ht="41.4" hidden="false" customHeight="false" outlineLevel="0" collapsed="false">
      <c r="A932" s="36" t="s">
        <v>2168</v>
      </c>
      <c r="B932" s="26" t="s">
        <v>2169</v>
      </c>
      <c r="C932" s="14" t="s">
        <v>1329</v>
      </c>
      <c r="D932" s="15" t="n">
        <v>52</v>
      </c>
      <c r="E932" s="27" t="n">
        <f aca="false">F932/2</f>
        <v>175000</v>
      </c>
      <c r="F932" s="16" t="n">
        <v>350000</v>
      </c>
      <c r="G932" s="15" t="s">
        <v>36</v>
      </c>
      <c r="H932" s="17" t="s">
        <v>25</v>
      </c>
      <c r="I932" s="18" t="s">
        <v>26</v>
      </c>
      <c r="J932" s="15" t="n">
        <v>2019</v>
      </c>
      <c r="K932" s="19" t="s">
        <v>27</v>
      </c>
      <c r="L932" s="15" t="s">
        <v>28</v>
      </c>
      <c r="M932" s="15" t="s">
        <v>33</v>
      </c>
      <c r="N932" s="20" t="s">
        <v>40</v>
      </c>
      <c r="O932" s="15"/>
      <c r="P932" s="15"/>
      <c r="Q932" s="21"/>
      <c r="R932" s="21"/>
      <c r="S932" s="21"/>
      <c r="T932" s="28"/>
      <c r="U932" s="34"/>
    </row>
    <row r="933" s="25" customFormat="true" ht="41.4" hidden="false" customHeight="false" outlineLevel="0" collapsed="false">
      <c r="A933" s="36" t="s">
        <v>2170</v>
      </c>
      <c r="B933" s="26"/>
      <c r="C933" s="14" t="s">
        <v>2171</v>
      </c>
      <c r="D933" s="15" t="n">
        <v>52</v>
      </c>
      <c r="E933" s="16" t="n">
        <f aca="false">F933/2</f>
        <v>2775</v>
      </c>
      <c r="F933" s="16" t="n">
        <v>5550</v>
      </c>
      <c r="G933" s="15" t="s">
        <v>36</v>
      </c>
      <c r="H933" s="17" t="s">
        <v>25</v>
      </c>
      <c r="I933" s="18" t="s">
        <v>26</v>
      </c>
      <c r="J933" s="15" t="n">
        <v>2024</v>
      </c>
      <c r="K933" s="19" t="s">
        <v>27</v>
      </c>
      <c r="L933" s="15" t="s">
        <v>28</v>
      </c>
      <c r="M933" s="15" t="s">
        <v>33</v>
      </c>
      <c r="N933" s="17"/>
      <c r="O933" s="15"/>
      <c r="P933" s="15"/>
      <c r="Q933" s="21"/>
      <c r="R933" s="21"/>
      <c r="S933" s="21"/>
      <c r="T933" s="31" t="n">
        <v>45917</v>
      </c>
      <c r="U933" s="24"/>
    </row>
    <row r="934" s="25" customFormat="true" ht="68.4" hidden="false" customHeight="false" outlineLevel="0" collapsed="false">
      <c r="A934" s="36" t="s">
        <v>2172</v>
      </c>
      <c r="B934" s="26" t="s">
        <v>2173</v>
      </c>
      <c r="C934" s="14"/>
      <c r="D934" s="15" t="n">
        <v>12</v>
      </c>
      <c r="E934" s="27" t="n">
        <v>1500</v>
      </c>
      <c r="F934" s="16" t="n">
        <v>3000</v>
      </c>
      <c r="G934" s="15" t="s">
        <v>354</v>
      </c>
      <c r="H934" s="17" t="s">
        <v>25</v>
      </c>
      <c r="I934" s="18" t="s">
        <v>26</v>
      </c>
      <c r="J934" s="15" t="n">
        <v>2000</v>
      </c>
      <c r="K934" s="19" t="s">
        <v>27</v>
      </c>
      <c r="L934" s="15" t="s">
        <v>28</v>
      </c>
      <c r="M934" s="15" t="s">
        <v>33</v>
      </c>
      <c r="N934" s="17" t="s">
        <v>40</v>
      </c>
      <c r="O934" s="15"/>
      <c r="P934" s="15"/>
      <c r="Q934" s="21" t="s">
        <v>41</v>
      </c>
      <c r="R934" s="21"/>
      <c r="S934" s="21"/>
      <c r="T934" s="28"/>
      <c r="U934" s="24" t="s">
        <v>2174</v>
      </c>
    </row>
    <row r="935" s="25" customFormat="true" ht="41.4" hidden="false" customHeight="false" outlineLevel="0" collapsed="false">
      <c r="A935" s="36" t="s">
        <v>27</v>
      </c>
      <c r="B935" s="26" t="s">
        <v>2175</v>
      </c>
      <c r="C935" s="14"/>
      <c r="D935" s="15" t="n">
        <v>12</v>
      </c>
      <c r="E935" s="27" t="n">
        <f aca="false">F935/2</f>
        <v>1500</v>
      </c>
      <c r="F935" s="16" t="n">
        <v>3000</v>
      </c>
      <c r="G935" s="15" t="s">
        <v>354</v>
      </c>
      <c r="H935" s="17" t="s">
        <v>25</v>
      </c>
      <c r="I935" s="18" t="s">
        <v>26</v>
      </c>
      <c r="J935" s="15" t="n">
        <v>2008</v>
      </c>
      <c r="K935" s="19" t="s">
        <v>27</v>
      </c>
      <c r="L935" s="15" t="s">
        <v>28</v>
      </c>
      <c r="M935" s="15" t="s">
        <v>33</v>
      </c>
      <c r="N935" s="17" t="s">
        <v>1227</v>
      </c>
      <c r="O935" s="15"/>
      <c r="P935" s="15"/>
      <c r="Q935" s="21" t="s">
        <v>47</v>
      </c>
      <c r="R935" s="21"/>
      <c r="S935" s="21"/>
      <c r="T935" s="28"/>
      <c r="U935" s="24" t="s">
        <v>2176</v>
      </c>
    </row>
    <row r="936" s="25" customFormat="true" ht="41.4" hidden="false" customHeight="false" outlineLevel="0" collapsed="false">
      <c r="A936" s="36" t="s">
        <v>2177</v>
      </c>
      <c r="B936" s="26" t="s">
        <v>2178</v>
      </c>
      <c r="C936" s="14" t="s">
        <v>2179</v>
      </c>
      <c r="D936" s="15" t="n">
        <v>312</v>
      </c>
      <c r="E936" s="27" t="n">
        <f aca="false">F936/2</f>
        <v>429</v>
      </c>
      <c r="F936" s="16" t="n">
        <f aca="false">715*1.2</f>
        <v>858</v>
      </c>
      <c r="G936" s="15" t="s">
        <v>24</v>
      </c>
      <c r="H936" s="17" t="s">
        <v>25</v>
      </c>
      <c r="I936" s="18" t="s">
        <v>26</v>
      </c>
      <c r="J936" s="15" t="n">
        <v>1998</v>
      </c>
      <c r="K936" s="19" t="s">
        <v>27</v>
      </c>
      <c r="L936" s="15" t="s">
        <v>103</v>
      </c>
      <c r="M936" s="15" t="s">
        <v>33</v>
      </c>
      <c r="N936" s="17" t="s">
        <v>343</v>
      </c>
      <c r="O936" s="15"/>
      <c r="P936" s="15"/>
      <c r="Q936" s="21" t="s">
        <v>344</v>
      </c>
      <c r="R936" s="21"/>
      <c r="S936" s="21"/>
      <c r="T936" s="31" t="n">
        <v>45917</v>
      </c>
      <c r="U936" s="24" t="s">
        <v>2180</v>
      </c>
    </row>
    <row r="937" s="25" customFormat="true" ht="41.4" hidden="false" customHeight="false" outlineLevel="0" collapsed="false">
      <c r="A937" s="36" t="s">
        <v>2181</v>
      </c>
      <c r="B937" s="26"/>
      <c r="C937" s="14" t="s">
        <v>81</v>
      </c>
      <c r="D937" s="15" t="n">
        <v>4</v>
      </c>
      <c r="E937" s="16" t="n">
        <f aca="false">F937/2</f>
        <v>50</v>
      </c>
      <c r="F937" s="16" t="n">
        <v>100</v>
      </c>
      <c r="G937" s="15" t="s">
        <v>36</v>
      </c>
      <c r="H937" s="17" t="s">
        <v>25</v>
      </c>
      <c r="I937" s="18" t="s">
        <v>26</v>
      </c>
      <c r="J937" s="15" t="n">
        <v>2024</v>
      </c>
      <c r="K937" s="19" t="s">
        <v>27</v>
      </c>
      <c r="L937" s="15" t="s">
        <v>304</v>
      </c>
      <c r="M937" s="15" t="s">
        <v>33</v>
      </c>
      <c r="N937" s="17" t="s">
        <v>83</v>
      </c>
      <c r="O937" s="15"/>
      <c r="P937" s="15"/>
      <c r="Q937" s="21"/>
      <c r="R937" s="21"/>
      <c r="S937" s="21"/>
      <c r="T937" s="28"/>
      <c r="U937" s="24"/>
    </row>
    <row r="938" s="25" customFormat="true" ht="41.4" hidden="false" customHeight="false" outlineLevel="0" collapsed="false">
      <c r="A938" s="36" t="s">
        <v>2182</v>
      </c>
      <c r="B938" s="26" t="s">
        <v>2183</v>
      </c>
      <c r="C938" s="14" t="s">
        <v>640</v>
      </c>
      <c r="D938" s="15" t="n">
        <v>4</v>
      </c>
      <c r="E938" s="27" t="n">
        <f aca="false">F938/2</f>
        <v>50</v>
      </c>
      <c r="F938" s="16" t="n">
        <v>100</v>
      </c>
      <c r="G938" s="15" t="s">
        <v>36</v>
      </c>
      <c r="H938" s="17" t="s">
        <v>25</v>
      </c>
      <c r="I938" s="18" t="s">
        <v>26</v>
      </c>
      <c r="J938" s="15" t="n">
        <v>2019</v>
      </c>
      <c r="K938" s="19" t="s">
        <v>27</v>
      </c>
      <c r="L938" s="15" t="s">
        <v>28</v>
      </c>
      <c r="M938" s="15" t="s">
        <v>33</v>
      </c>
      <c r="N938" s="20" t="s">
        <v>72</v>
      </c>
      <c r="O938" s="15"/>
      <c r="P938" s="15"/>
      <c r="Q938" s="21"/>
      <c r="R938" s="21"/>
      <c r="S938" s="21"/>
      <c r="T938" s="28"/>
      <c r="U938" s="34"/>
    </row>
    <row r="939" s="25" customFormat="true" ht="41.4" hidden="false" customHeight="false" outlineLevel="0" collapsed="false">
      <c r="A939" s="36" t="s">
        <v>2184</v>
      </c>
      <c r="B939" s="26" t="s">
        <v>893</v>
      </c>
      <c r="C939" s="14" t="s">
        <v>894</v>
      </c>
      <c r="D939" s="15" t="n">
        <v>12</v>
      </c>
      <c r="E939" s="27" t="n">
        <f aca="false">F939/2</f>
        <v>330</v>
      </c>
      <c r="F939" s="16" t="n">
        <v>660</v>
      </c>
      <c r="G939" s="15" t="s">
        <v>36</v>
      </c>
      <c r="H939" s="17" t="s">
        <v>25</v>
      </c>
      <c r="I939" s="18" t="s">
        <v>26</v>
      </c>
      <c r="J939" s="15" t="n">
        <v>2023</v>
      </c>
      <c r="K939" s="19" t="s">
        <v>27</v>
      </c>
      <c r="L939" s="15" t="s">
        <v>103</v>
      </c>
      <c r="M939" s="15" t="s">
        <v>33</v>
      </c>
      <c r="N939" s="17" t="s">
        <v>175</v>
      </c>
      <c r="O939" s="15"/>
      <c r="P939" s="15"/>
      <c r="Q939" s="21" t="s">
        <v>344</v>
      </c>
      <c r="R939" s="21"/>
      <c r="S939" s="21"/>
      <c r="T939" s="28"/>
      <c r="U939" s="24" t="s">
        <v>895</v>
      </c>
    </row>
    <row r="940" s="25" customFormat="true" ht="41.4" hidden="false" customHeight="false" outlineLevel="0" collapsed="false">
      <c r="A940" s="36" t="s">
        <v>2185</v>
      </c>
      <c r="B940" s="26" t="s">
        <v>2186</v>
      </c>
      <c r="C940" s="14" t="s">
        <v>2187</v>
      </c>
      <c r="D940" s="15" t="n">
        <v>300</v>
      </c>
      <c r="E940" s="27" t="n">
        <f aca="false">F940/2</f>
        <v>2300</v>
      </c>
      <c r="F940" s="16" t="n">
        <v>4600</v>
      </c>
      <c r="G940" s="15" t="s">
        <v>24</v>
      </c>
      <c r="H940" s="17" t="s">
        <v>25</v>
      </c>
      <c r="I940" s="18" t="s">
        <v>26</v>
      </c>
      <c r="J940" s="15" t="n">
        <v>1998</v>
      </c>
      <c r="K940" s="19" t="s">
        <v>27</v>
      </c>
      <c r="L940" s="15" t="s">
        <v>103</v>
      </c>
      <c r="M940" s="15" t="s">
        <v>33</v>
      </c>
      <c r="N940" s="17" t="s">
        <v>343</v>
      </c>
      <c r="O940" s="15"/>
      <c r="P940" s="15"/>
      <c r="Q940" s="21" t="s">
        <v>344</v>
      </c>
      <c r="R940" s="21"/>
      <c r="S940" s="21"/>
      <c r="T940" s="28"/>
      <c r="U940" s="24" t="s">
        <v>2188</v>
      </c>
    </row>
    <row r="941" s="25" customFormat="true" ht="41.4" hidden="false" customHeight="false" outlineLevel="0" collapsed="false">
      <c r="A941" s="36" t="s">
        <v>2189</v>
      </c>
      <c r="B941" s="26"/>
      <c r="C941" s="14" t="s">
        <v>2190</v>
      </c>
      <c r="D941" s="15" t="n">
        <v>2</v>
      </c>
      <c r="E941" s="27" t="n">
        <f aca="false">F941/2</f>
        <v>850</v>
      </c>
      <c r="F941" s="16" t="n">
        <v>1700</v>
      </c>
      <c r="G941" s="15" t="s">
        <v>36</v>
      </c>
      <c r="H941" s="17" t="s">
        <v>25</v>
      </c>
      <c r="I941" s="18" t="s">
        <v>26</v>
      </c>
      <c r="J941" s="15" t="n">
        <v>2024</v>
      </c>
      <c r="K941" s="19" t="s">
        <v>27</v>
      </c>
      <c r="L941" s="15" t="s">
        <v>28</v>
      </c>
      <c r="M941" s="15" t="s">
        <v>33</v>
      </c>
      <c r="N941" s="17"/>
      <c r="O941" s="15"/>
      <c r="P941" s="15"/>
      <c r="Q941" s="21"/>
      <c r="R941" s="21"/>
      <c r="S941" s="21"/>
      <c r="T941" s="28"/>
      <c r="U941" s="24"/>
    </row>
    <row r="942" s="25" customFormat="true" ht="41.4" hidden="false" customHeight="false" outlineLevel="0" collapsed="false">
      <c r="A942" s="36" t="s">
        <v>2191</v>
      </c>
      <c r="B942" s="26" t="s">
        <v>2192</v>
      </c>
      <c r="C942" s="14" t="s">
        <v>2193</v>
      </c>
      <c r="D942" s="15" t="n">
        <v>4</v>
      </c>
      <c r="E942" s="27" t="n">
        <f aca="false">F942/2</f>
        <v>2400</v>
      </c>
      <c r="F942" s="16" t="n">
        <f aca="false">4000*1.2</f>
        <v>4800</v>
      </c>
      <c r="G942" s="15" t="s">
        <v>36</v>
      </c>
      <c r="H942" s="17" t="s">
        <v>25</v>
      </c>
      <c r="I942" s="18" t="s">
        <v>26</v>
      </c>
      <c r="J942" s="15" t="n">
        <v>2020</v>
      </c>
      <c r="K942" s="19" t="s">
        <v>27</v>
      </c>
      <c r="L942" s="15" t="s">
        <v>28</v>
      </c>
      <c r="M942" s="15" t="s">
        <v>33</v>
      </c>
      <c r="N942" s="20" t="s">
        <v>160</v>
      </c>
      <c r="O942" s="15"/>
      <c r="P942" s="15"/>
      <c r="Q942" s="21"/>
      <c r="R942" s="21"/>
      <c r="S942" s="21"/>
      <c r="T942" s="31" t="n">
        <v>45882</v>
      </c>
      <c r="U942" s="34"/>
    </row>
    <row r="943" s="25" customFormat="true" ht="41.4" hidden="false" customHeight="false" outlineLevel="0" collapsed="false">
      <c r="A943" s="63" t="s">
        <v>2194</v>
      </c>
      <c r="B943" s="26" t="s">
        <v>2195</v>
      </c>
      <c r="C943" s="72" t="s">
        <v>264</v>
      </c>
      <c r="D943" s="30" t="n">
        <v>12</v>
      </c>
      <c r="E943" s="16" t="n">
        <f aca="false">F943/2</f>
        <v>24808.68</v>
      </c>
      <c r="F943" s="16" t="n">
        <f aca="false">53352*0.93</f>
        <v>49617.36</v>
      </c>
      <c r="G943" s="15" t="s">
        <v>36</v>
      </c>
      <c r="H943" s="17" t="s">
        <v>25</v>
      </c>
      <c r="I943" s="18" t="s">
        <v>26</v>
      </c>
      <c r="J943" s="15" t="n">
        <v>2024</v>
      </c>
      <c r="K943" s="19" t="s">
        <v>27</v>
      </c>
      <c r="L943" s="15" t="s">
        <v>28</v>
      </c>
      <c r="M943" s="15" t="s">
        <v>33</v>
      </c>
      <c r="N943" s="30"/>
      <c r="O943" s="60"/>
      <c r="P943" s="60"/>
      <c r="Q943" s="21"/>
      <c r="R943" s="21"/>
      <c r="S943" s="40"/>
      <c r="T943" s="31" t="n">
        <v>45880</v>
      </c>
      <c r="U943" s="41"/>
    </row>
    <row r="944" s="25" customFormat="true" ht="41.4" hidden="false" customHeight="false" outlineLevel="0" collapsed="false">
      <c r="A944" s="36" t="s">
        <v>2196</v>
      </c>
      <c r="B944" s="26" t="s">
        <v>2197</v>
      </c>
      <c r="C944" s="14"/>
      <c r="D944" s="15" t="n">
        <v>1</v>
      </c>
      <c r="E944" s="27" t="n">
        <v>2000</v>
      </c>
      <c r="F944" s="16" t="n">
        <v>2000</v>
      </c>
      <c r="G944" s="15" t="s">
        <v>354</v>
      </c>
      <c r="H944" s="17" t="s">
        <v>25</v>
      </c>
      <c r="I944" s="18" t="s">
        <v>26</v>
      </c>
      <c r="J944" s="15" t="n">
        <v>2008</v>
      </c>
      <c r="K944" s="19" t="s">
        <v>2198</v>
      </c>
      <c r="L944" s="15" t="s">
        <v>28</v>
      </c>
      <c r="M944" s="15" t="s">
        <v>33</v>
      </c>
      <c r="N944" s="17" t="s">
        <v>208</v>
      </c>
      <c r="O944" s="15"/>
      <c r="P944" s="15"/>
      <c r="Q944" s="21" t="s">
        <v>455</v>
      </c>
      <c r="R944" s="21"/>
      <c r="S944" s="21"/>
      <c r="T944" s="28"/>
      <c r="U944" s="24"/>
    </row>
    <row r="945" s="25" customFormat="true" ht="41.4" hidden="false" customHeight="false" outlineLevel="0" collapsed="false">
      <c r="A945" s="36" t="s">
        <v>2199</v>
      </c>
      <c r="B945" s="26" t="s">
        <v>2200</v>
      </c>
      <c r="C945" s="14" t="s">
        <v>1741</v>
      </c>
      <c r="D945" s="15" t="n">
        <v>4</v>
      </c>
      <c r="E945" s="27" t="n">
        <f aca="false">F945/2</f>
        <v>1440</v>
      </c>
      <c r="F945" s="16" t="n">
        <f aca="false">2400*1.2</f>
        <v>2880</v>
      </c>
      <c r="G945" s="15" t="s">
        <v>36</v>
      </c>
      <c r="H945" s="17" t="s">
        <v>25</v>
      </c>
      <c r="I945" s="18" t="s">
        <v>26</v>
      </c>
      <c r="J945" s="15" t="n">
        <v>2020</v>
      </c>
      <c r="K945" s="19" t="s">
        <v>27</v>
      </c>
      <c r="L945" s="15" t="s">
        <v>28</v>
      </c>
      <c r="M945" s="15" t="s">
        <v>33</v>
      </c>
      <c r="N945" s="17" t="s">
        <v>45</v>
      </c>
      <c r="O945" s="15"/>
      <c r="P945" s="15"/>
      <c r="Q945" s="21"/>
      <c r="R945" s="21"/>
      <c r="S945" s="21"/>
      <c r="T945" s="28"/>
      <c r="U945" s="34"/>
    </row>
    <row r="946" s="25" customFormat="true" ht="41.4" hidden="false" customHeight="false" outlineLevel="0" collapsed="false">
      <c r="A946" s="36" t="s">
        <v>2201</v>
      </c>
      <c r="B946" s="26" t="s">
        <v>2202</v>
      </c>
      <c r="C946" s="14" t="s">
        <v>1741</v>
      </c>
      <c r="D946" s="15" t="n">
        <v>4</v>
      </c>
      <c r="E946" s="27" t="n">
        <f aca="false">F946/2</f>
        <v>1440</v>
      </c>
      <c r="F946" s="16" t="n">
        <f aca="false">2400*1.2</f>
        <v>2880</v>
      </c>
      <c r="G946" s="15" t="s">
        <v>36</v>
      </c>
      <c r="H946" s="17" t="s">
        <v>25</v>
      </c>
      <c r="I946" s="18" t="s">
        <v>26</v>
      </c>
      <c r="J946" s="15" t="n">
        <v>2020</v>
      </c>
      <c r="K946" s="19" t="s">
        <v>27</v>
      </c>
      <c r="L946" s="15" t="s">
        <v>28</v>
      </c>
      <c r="M946" s="15" t="s">
        <v>33</v>
      </c>
      <c r="N946" s="17" t="s">
        <v>208</v>
      </c>
      <c r="O946" s="15"/>
      <c r="P946" s="15"/>
      <c r="Q946" s="21"/>
      <c r="R946" s="21"/>
      <c r="S946" s="21"/>
      <c r="T946" s="28"/>
      <c r="U946" s="34"/>
    </row>
    <row r="947" s="25" customFormat="true" ht="41.4" hidden="false" customHeight="false" outlineLevel="0" collapsed="false">
      <c r="A947" s="36" t="s">
        <v>2203</v>
      </c>
      <c r="B947" s="26"/>
      <c r="C947" s="14" t="s">
        <v>2204</v>
      </c>
      <c r="D947" s="15" t="n">
        <v>4</v>
      </c>
      <c r="E947" s="27" t="n">
        <f aca="false">F947/2</f>
        <v>720</v>
      </c>
      <c r="F947" s="16" t="n">
        <f aca="false">1200*1.2</f>
        <v>1440</v>
      </c>
      <c r="G947" s="15" t="s">
        <v>36</v>
      </c>
      <c r="H947" s="17" t="s">
        <v>25</v>
      </c>
      <c r="I947" s="18" t="s">
        <v>26</v>
      </c>
      <c r="J947" s="15" t="n">
        <v>2023</v>
      </c>
      <c r="K947" s="19" t="s">
        <v>27</v>
      </c>
      <c r="L947" s="15" t="s">
        <v>28</v>
      </c>
      <c r="M947" s="15" t="s">
        <v>33</v>
      </c>
      <c r="N947" s="17" t="s">
        <v>208</v>
      </c>
      <c r="O947" s="15"/>
      <c r="P947" s="15"/>
      <c r="Q947" s="21"/>
      <c r="R947" s="21"/>
      <c r="S947" s="21"/>
      <c r="T947" s="28"/>
      <c r="U947" s="24"/>
    </row>
    <row r="948" s="25" customFormat="true" ht="41.4" hidden="false" customHeight="false" outlineLevel="0" collapsed="false">
      <c r="A948" s="36" t="s">
        <v>2205</v>
      </c>
      <c r="B948" s="26"/>
      <c r="C948" s="14" t="s">
        <v>2204</v>
      </c>
      <c r="D948" s="15" t="n">
        <v>12</v>
      </c>
      <c r="E948" s="27" t="n">
        <f aca="false">F948/2</f>
        <v>2070</v>
      </c>
      <c r="F948" s="16" t="n">
        <f aca="false">3450*1.2</f>
        <v>4140</v>
      </c>
      <c r="G948" s="15" t="s">
        <v>36</v>
      </c>
      <c r="H948" s="17" t="s">
        <v>25</v>
      </c>
      <c r="I948" s="18" t="s">
        <v>26</v>
      </c>
      <c r="J948" s="15" t="n">
        <v>2023</v>
      </c>
      <c r="K948" s="19" t="s">
        <v>27</v>
      </c>
      <c r="L948" s="15" t="s">
        <v>28</v>
      </c>
      <c r="M948" s="15" t="s">
        <v>33</v>
      </c>
      <c r="N948" s="17" t="s">
        <v>208</v>
      </c>
      <c r="O948" s="15"/>
      <c r="P948" s="15"/>
      <c r="Q948" s="21"/>
      <c r="R948" s="21"/>
      <c r="S948" s="21"/>
      <c r="T948" s="28"/>
      <c r="U948" s="24"/>
    </row>
    <row r="949" s="25" customFormat="true" ht="41.4" hidden="false" customHeight="false" outlineLevel="0" collapsed="false">
      <c r="A949" s="36" t="s">
        <v>2206</v>
      </c>
      <c r="B949" s="26" t="s">
        <v>2207</v>
      </c>
      <c r="C949" s="14" t="s">
        <v>2208</v>
      </c>
      <c r="D949" s="15" t="n">
        <v>8</v>
      </c>
      <c r="E949" s="27" t="n">
        <f aca="false">F949/2</f>
        <v>725</v>
      </c>
      <c r="F949" s="16" t="n">
        <v>1450</v>
      </c>
      <c r="G949" s="15" t="s">
        <v>36</v>
      </c>
      <c r="H949" s="17" t="s">
        <v>25</v>
      </c>
      <c r="I949" s="18" t="s">
        <v>26</v>
      </c>
      <c r="J949" s="15" t="n">
        <v>2021</v>
      </c>
      <c r="K949" s="19" t="s">
        <v>27</v>
      </c>
      <c r="L949" s="15" t="s">
        <v>28</v>
      </c>
      <c r="M949" s="15" t="s">
        <v>33</v>
      </c>
      <c r="N949" s="17" t="s">
        <v>208</v>
      </c>
      <c r="O949" s="15"/>
      <c r="P949" s="15"/>
      <c r="Q949" s="21"/>
      <c r="R949" s="21"/>
      <c r="S949" s="21"/>
      <c r="T949" s="28"/>
      <c r="U949" s="34"/>
    </row>
    <row r="950" s="25" customFormat="true" ht="41.4" hidden="false" customHeight="false" outlineLevel="0" collapsed="false">
      <c r="A950" s="36" t="s">
        <v>2209</v>
      </c>
      <c r="B950" s="26" t="s">
        <v>2210</v>
      </c>
      <c r="C950" s="14" t="s">
        <v>182</v>
      </c>
      <c r="D950" s="15" t="n">
        <v>4</v>
      </c>
      <c r="E950" s="27" t="n">
        <f aca="false">F950/2</f>
        <v>800</v>
      </c>
      <c r="F950" s="16" t="n">
        <v>1600</v>
      </c>
      <c r="G950" s="15" t="s">
        <v>36</v>
      </c>
      <c r="H950" s="17" t="s">
        <v>25</v>
      </c>
      <c r="I950" s="18" t="s">
        <v>26</v>
      </c>
      <c r="J950" s="15" t="n">
        <v>2020</v>
      </c>
      <c r="K950" s="19" t="s">
        <v>27</v>
      </c>
      <c r="L950" s="15" t="s">
        <v>28</v>
      </c>
      <c r="M950" s="15" t="s">
        <v>33</v>
      </c>
      <c r="N950" s="17" t="s">
        <v>45</v>
      </c>
      <c r="O950" s="15"/>
      <c r="P950" s="15"/>
      <c r="Q950" s="21"/>
      <c r="R950" s="21"/>
      <c r="S950" s="21"/>
      <c r="T950" s="28"/>
      <c r="U950" s="24"/>
    </row>
    <row r="951" s="25" customFormat="true" ht="41.4" hidden="false" customHeight="false" outlineLevel="0" collapsed="false">
      <c r="A951" s="36" t="s">
        <v>2211</v>
      </c>
      <c r="B951" s="26"/>
      <c r="C951" s="14" t="s">
        <v>864</v>
      </c>
      <c r="D951" s="15" t="n">
        <v>2</v>
      </c>
      <c r="E951" s="27" t="n">
        <f aca="false">F951/2</f>
        <v>50</v>
      </c>
      <c r="F951" s="16" t="n">
        <v>100</v>
      </c>
      <c r="G951" s="15" t="s">
        <v>36</v>
      </c>
      <c r="H951" s="17" t="s">
        <v>25</v>
      </c>
      <c r="I951" s="18" t="s">
        <v>26</v>
      </c>
      <c r="J951" s="15" t="n">
        <v>2023</v>
      </c>
      <c r="K951" s="19" t="s">
        <v>553</v>
      </c>
      <c r="L951" s="15" t="s">
        <v>28</v>
      </c>
      <c r="M951" s="15" t="s">
        <v>33</v>
      </c>
      <c r="N951" s="17" t="s">
        <v>208</v>
      </c>
      <c r="O951" s="15"/>
      <c r="P951" s="15"/>
      <c r="Q951" s="21"/>
      <c r="R951" s="21"/>
      <c r="S951" s="21"/>
      <c r="T951" s="28"/>
      <c r="U951" s="24"/>
    </row>
    <row r="952" s="25" customFormat="true" ht="41.4" hidden="false" customHeight="false" outlineLevel="0" collapsed="false">
      <c r="A952" s="36" t="s">
        <v>2212</v>
      </c>
      <c r="B952" s="26" t="s">
        <v>2213</v>
      </c>
      <c r="C952" s="14" t="s">
        <v>1048</v>
      </c>
      <c r="D952" s="15" t="n">
        <v>12</v>
      </c>
      <c r="E952" s="27" t="n">
        <v>2434</v>
      </c>
      <c r="F952" s="16" t="n">
        <f aca="false">E952*2</f>
        <v>4868</v>
      </c>
      <c r="G952" s="15" t="s">
        <v>36</v>
      </c>
      <c r="H952" s="17" t="s">
        <v>25</v>
      </c>
      <c r="I952" s="18" t="s">
        <v>26</v>
      </c>
      <c r="J952" s="15" t="n">
        <v>2020</v>
      </c>
      <c r="K952" s="19" t="s">
        <v>27</v>
      </c>
      <c r="L952" s="15" t="s">
        <v>28</v>
      </c>
      <c r="M952" s="15" t="s">
        <v>33</v>
      </c>
      <c r="N952" s="20" t="s">
        <v>45</v>
      </c>
      <c r="O952" s="15"/>
      <c r="P952" s="15"/>
      <c r="Q952" s="21"/>
      <c r="R952" s="21"/>
      <c r="S952" s="21"/>
      <c r="T952" s="31" t="n">
        <v>45897</v>
      </c>
      <c r="U952" s="34"/>
    </row>
    <row r="953" s="25" customFormat="true" ht="41.4" hidden="false" customHeight="false" outlineLevel="0" collapsed="false">
      <c r="A953" s="36" t="s">
        <v>2214</v>
      </c>
      <c r="B953" s="26" t="s">
        <v>2215</v>
      </c>
      <c r="C953" s="14" t="s">
        <v>296</v>
      </c>
      <c r="D953" s="15" t="n">
        <v>4</v>
      </c>
      <c r="E953" s="27" t="n">
        <v>50</v>
      </c>
      <c r="F953" s="16" t="n">
        <v>100</v>
      </c>
      <c r="G953" s="15" t="s">
        <v>36</v>
      </c>
      <c r="H953" s="17" t="s">
        <v>25</v>
      </c>
      <c r="I953" s="18" t="s">
        <v>26</v>
      </c>
      <c r="J953" s="15"/>
      <c r="K953" s="19" t="s">
        <v>27</v>
      </c>
      <c r="L953" s="15" t="s">
        <v>28</v>
      </c>
      <c r="M953" s="15" t="s">
        <v>33</v>
      </c>
      <c r="N953" s="17" t="s">
        <v>600</v>
      </c>
      <c r="O953" s="15"/>
      <c r="P953" s="15"/>
      <c r="Q953" s="21" t="s">
        <v>78</v>
      </c>
      <c r="R953" s="21"/>
      <c r="S953" s="21"/>
      <c r="T953" s="28"/>
      <c r="U953" s="24"/>
    </row>
    <row r="954" s="25" customFormat="true" ht="79.8" hidden="false" customHeight="false" outlineLevel="0" collapsed="false">
      <c r="A954" s="36" t="s">
        <v>2216</v>
      </c>
      <c r="B954" s="26" t="s">
        <v>2217</v>
      </c>
      <c r="C954" s="14"/>
      <c r="D954" s="15" t="n">
        <v>12</v>
      </c>
      <c r="E954" s="27" t="n">
        <f aca="false">F954/2</f>
        <v>500</v>
      </c>
      <c r="F954" s="16" t="n">
        <v>1000</v>
      </c>
      <c r="G954" s="15" t="s">
        <v>36</v>
      </c>
      <c r="H954" s="17" t="s">
        <v>25</v>
      </c>
      <c r="I954" s="18" t="s">
        <v>26</v>
      </c>
      <c r="J954" s="15" t="n">
        <v>2014</v>
      </c>
      <c r="K954" s="19" t="s">
        <v>27</v>
      </c>
      <c r="L954" s="15" t="s">
        <v>28</v>
      </c>
      <c r="M954" s="15" t="s">
        <v>33</v>
      </c>
      <c r="N954" s="17" t="s">
        <v>214</v>
      </c>
      <c r="O954" s="15"/>
      <c r="P954" s="15"/>
      <c r="Q954" s="21" t="s">
        <v>215</v>
      </c>
      <c r="R954" s="21"/>
      <c r="S954" s="21"/>
      <c r="T954" s="28"/>
      <c r="U954" s="24" t="s">
        <v>2218</v>
      </c>
    </row>
    <row r="955" s="25" customFormat="true" ht="41.4" hidden="false" customHeight="false" outlineLevel="0" collapsed="false">
      <c r="A955" s="36" t="s">
        <v>2219</v>
      </c>
      <c r="B955" s="26"/>
      <c r="C955" s="14" t="s">
        <v>579</v>
      </c>
      <c r="D955" s="15" t="n">
        <v>12</v>
      </c>
      <c r="E955" s="27" t="n">
        <f aca="false">F955/2</f>
        <v>7200</v>
      </c>
      <c r="F955" s="16" t="n">
        <f aca="false">12000*1.2</f>
        <v>14400</v>
      </c>
      <c r="G955" s="15" t="s">
        <v>36</v>
      </c>
      <c r="H955" s="17" t="s">
        <v>25</v>
      </c>
      <c r="I955" s="18" t="s">
        <v>26</v>
      </c>
      <c r="J955" s="15" t="n">
        <v>2023</v>
      </c>
      <c r="K955" s="19" t="s">
        <v>27</v>
      </c>
      <c r="L955" s="15" t="s">
        <v>28</v>
      </c>
      <c r="M955" s="15" t="s">
        <v>33</v>
      </c>
      <c r="N955" s="17"/>
      <c r="O955" s="15"/>
      <c r="P955" s="15"/>
      <c r="Q955" s="21"/>
      <c r="R955" s="21"/>
      <c r="S955" s="21"/>
      <c r="T955" s="28"/>
      <c r="U955" s="24"/>
    </row>
    <row r="956" s="25" customFormat="true" ht="41.4" hidden="false" customHeight="false" outlineLevel="0" collapsed="false">
      <c r="A956" s="36" t="s">
        <v>2220</v>
      </c>
      <c r="B956" s="26" t="s">
        <v>2221</v>
      </c>
      <c r="C956" s="14" t="s">
        <v>2222</v>
      </c>
      <c r="D956" s="15" t="n">
        <v>12</v>
      </c>
      <c r="E956" s="27" t="n">
        <f aca="false">F956/2</f>
        <v>7200</v>
      </c>
      <c r="F956" s="16" t="n">
        <f aca="false">12000*1.2</f>
        <v>14400</v>
      </c>
      <c r="G956" s="15" t="s">
        <v>36</v>
      </c>
      <c r="H956" s="17" t="s">
        <v>25</v>
      </c>
      <c r="I956" s="18" t="s">
        <v>26</v>
      </c>
      <c r="J956" s="15" t="n">
        <v>2021</v>
      </c>
      <c r="K956" s="19" t="s">
        <v>27</v>
      </c>
      <c r="L956" s="15" t="s">
        <v>28</v>
      </c>
      <c r="M956" s="15" t="s">
        <v>33</v>
      </c>
      <c r="N956" s="20"/>
      <c r="O956" s="15"/>
      <c r="P956" s="15"/>
      <c r="Q956" s="21"/>
      <c r="R956" s="21"/>
      <c r="S956" s="21"/>
      <c r="T956" s="31" t="n">
        <v>45884</v>
      </c>
      <c r="U956" s="34"/>
    </row>
    <row r="957" s="25" customFormat="true" ht="45.6" hidden="false" customHeight="false" outlineLevel="0" collapsed="false">
      <c r="A957" s="36" t="s">
        <v>2223</v>
      </c>
      <c r="B957" s="26" t="s">
        <v>2224</v>
      </c>
      <c r="C957" s="14"/>
      <c r="D957" s="15" t="n">
        <v>104</v>
      </c>
      <c r="E957" s="27" t="n">
        <v>1050</v>
      </c>
      <c r="F957" s="16" t="n">
        <v>2100</v>
      </c>
      <c r="G957" s="15" t="s">
        <v>354</v>
      </c>
      <c r="H957" s="17" t="s">
        <v>25</v>
      </c>
      <c r="I957" s="18" t="s">
        <v>26</v>
      </c>
      <c r="J957" s="15" t="n">
        <v>1999</v>
      </c>
      <c r="K957" s="19" t="s">
        <v>2225</v>
      </c>
      <c r="L957" s="15" t="s">
        <v>103</v>
      </c>
      <c r="M957" s="15" t="s">
        <v>33</v>
      </c>
      <c r="N957" s="17" t="s">
        <v>40</v>
      </c>
      <c r="O957" s="15"/>
      <c r="P957" s="15"/>
      <c r="Q957" s="21" t="s">
        <v>41</v>
      </c>
      <c r="R957" s="21"/>
      <c r="S957" s="21"/>
      <c r="T957" s="28"/>
      <c r="U957" s="24" t="s">
        <v>2226</v>
      </c>
    </row>
    <row r="958" s="25" customFormat="true" ht="45.6" hidden="false" customHeight="false" outlineLevel="0" collapsed="false">
      <c r="A958" s="36" t="s">
        <v>2227</v>
      </c>
      <c r="B958" s="26" t="s">
        <v>2228</v>
      </c>
      <c r="C958" s="14"/>
      <c r="D958" s="15" t="n">
        <v>104</v>
      </c>
      <c r="E958" s="27" t="n">
        <v>1050</v>
      </c>
      <c r="F958" s="16" t="n">
        <v>2100</v>
      </c>
      <c r="G958" s="15" t="s">
        <v>354</v>
      </c>
      <c r="H958" s="17" t="s">
        <v>25</v>
      </c>
      <c r="I958" s="18" t="s">
        <v>26</v>
      </c>
      <c r="J958" s="15" t="n">
        <v>1996</v>
      </c>
      <c r="K958" s="19" t="s">
        <v>65</v>
      </c>
      <c r="L958" s="15" t="s">
        <v>103</v>
      </c>
      <c r="M958" s="15" t="s">
        <v>33</v>
      </c>
      <c r="N958" s="17" t="s">
        <v>40</v>
      </c>
      <c r="O958" s="15"/>
      <c r="P958" s="15"/>
      <c r="Q958" s="21" t="s">
        <v>41</v>
      </c>
      <c r="R958" s="21"/>
      <c r="S958" s="21"/>
      <c r="T958" s="28"/>
      <c r="U958" s="24" t="s">
        <v>2229</v>
      </c>
    </row>
    <row r="959" s="25" customFormat="true" ht="41.4" hidden="false" customHeight="false" outlineLevel="0" collapsed="false">
      <c r="A959" s="36" t="s">
        <v>2230</v>
      </c>
      <c r="B959" s="26"/>
      <c r="C959" s="14" t="s">
        <v>2231</v>
      </c>
      <c r="D959" s="15" t="n">
        <v>4</v>
      </c>
      <c r="E959" s="27" t="n">
        <f aca="false">F959/2</f>
        <v>10140</v>
      </c>
      <c r="F959" s="16" t="n">
        <f aca="false">16900*1.2</f>
        <v>20280</v>
      </c>
      <c r="G959" s="15" t="s">
        <v>36</v>
      </c>
      <c r="H959" s="17" t="s">
        <v>25</v>
      </c>
      <c r="I959" s="18" t="s">
        <v>26</v>
      </c>
      <c r="J959" s="15" t="n">
        <v>2024</v>
      </c>
      <c r="K959" s="19" t="s">
        <v>27</v>
      </c>
      <c r="L959" s="15" t="s">
        <v>28</v>
      </c>
      <c r="M959" s="15" t="s">
        <v>33</v>
      </c>
      <c r="N959" s="17" t="s">
        <v>397</v>
      </c>
      <c r="O959" s="15"/>
      <c r="P959" s="15"/>
      <c r="Q959" s="21" t="s">
        <v>78</v>
      </c>
      <c r="R959" s="21"/>
      <c r="S959" s="21" t="s">
        <v>18</v>
      </c>
      <c r="T959" s="28"/>
      <c r="U959" s="34"/>
    </row>
    <row r="960" s="25" customFormat="true" ht="41.4" hidden="false" customHeight="false" outlineLevel="0" collapsed="false">
      <c r="A960" s="36" t="s">
        <v>2232</v>
      </c>
      <c r="B960" s="26" t="s">
        <v>2233</v>
      </c>
      <c r="C960" s="14" t="s">
        <v>762</v>
      </c>
      <c r="D960" s="15" t="n">
        <v>4</v>
      </c>
      <c r="E960" s="27" t="n">
        <f aca="false">F960/2</f>
        <v>50</v>
      </c>
      <c r="F960" s="16" t="n">
        <v>100</v>
      </c>
      <c r="G960" s="15" t="s">
        <v>36</v>
      </c>
      <c r="H960" s="17" t="s">
        <v>25</v>
      </c>
      <c r="I960" s="18" t="s">
        <v>26</v>
      </c>
      <c r="J960" s="15" t="n">
        <v>2018</v>
      </c>
      <c r="K960" s="19" t="s">
        <v>763</v>
      </c>
      <c r="L960" s="15" t="s">
        <v>28</v>
      </c>
      <c r="M960" s="15" t="s">
        <v>33</v>
      </c>
      <c r="N960" s="20"/>
      <c r="O960" s="15"/>
      <c r="P960" s="15"/>
      <c r="Q960" s="21"/>
      <c r="R960" s="21"/>
      <c r="S960" s="21"/>
      <c r="T960" s="28"/>
      <c r="U960" s="24"/>
    </row>
    <row r="961" s="25" customFormat="true" ht="41.4" hidden="false" customHeight="false" outlineLevel="0" collapsed="false">
      <c r="A961" s="36" t="s">
        <v>2234</v>
      </c>
      <c r="B961" s="26" t="s">
        <v>2235</v>
      </c>
      <c r="C961" s="14" t="s">
        <v>434</v>
      </c>
      <c r="D961" s="15" t="n">
        <v>6</v>
      </c>
      <c r="E961" s="27" t="n">
        <f aca="false">F961/2</f>
        <v>23100</v>
      </c>
      <c r="F961" s="16" t="n">
        <v>46200</v>
      </c>
      <c r="G961" s="15" t="s">
        <v>36</v>
      </c>
      <c r="H961" s="17" t="s">
        <v>25</v>
      </c>
      <c r="I961" s="18" t="s">
        <v>26</v>
      </c>
      <c r="J961" s="15" t="n">
        <v>2020</v>
      </c>
      <c r="K961" s="19" t="s">
        <v>27</v>
      </c>
      <c r="L961" s="15" t="s">
        <v>28</v>
      </c>
      <c r="M961" s="15" t="s">
        <v>33</v>
      </c>
      <c r="N961" s="20"/>
      <c r="O961" s="15"/>
      <c r="P961" s="15"/>
      <c r="Q961" s="21" t="s">
        <v>78</v>
      </c>
      <c r="R961" s="21"/>
      <c r="S961" s="21"/>
      <c r="T961" s="31" t="n">
        <v>45880</v>
      </c>
      <c r="U961" s="34"/>
    </row>
    <row r="962" s="25" customFormat="true" ht="41.4" hidden="false" customHeight="false" outlineLevel="0" collapsed="false">
      <c r="A962" s="36" t="s">
        <v>2236</v>
      </c>
      <c r="B962" s="26" t="s">
        <v>2237</v>
      </c>
      <c r="C962" s="14" t="s">
        <v>2238</v>
      </c>
      <c r="D962" s="15" t="n">
        <v>2</v>
      </c>
      <c r="E962" s="27" t="n">
        <f aca="false">F962/2</f>
        <v>1452</v>
      </c>
      <c r="F962" s="16" t="n">
        <v>2904</v>
      </c>
      <c r="G962" s="15" t="s">
        <v>36</v>
      </c>
      <c r="H962" s="17" t="s">
        <v>25</v>
      </c>
      <c r="I962" s="18" t="s">
        <v>26</v>
      </c>
      <c r="J962" s="15" t="n">
        <v>2019</v>
      </c>
      <c r="K962" s="19" t="s">
        <v>27</v>
      </c>
      <c r="L962" s="15" t="s">
        <v>28</v>
      </c>
      <c r="M962" s="15" t="s">
        <v>33</v>
      </c>
      <c r="N962" s="20"/>
      <c r="O962" s="15"/>
      <c r="P962" s="15"/>
      <c r="Q962" s="21"/>
      <c r="R962" s="21"/>
      <c r="S962" s="21"/>
      <c r="T962" s="28"/>
      <c r="U962" s="34"/>
    </row>
    <row r="963" s="25" customFormat="true" ht="41.4" hidden="false" customHeight="false" outlineLevel="0" collapsed="false">
      <c r="A963" s="36" t="s">
        <v>2239</v>
      </c>
      <c r="B963" s="26" t="s">
        <v>2240</v>
      </c>
      <c r="C963" s="14" t="s">
        <v>2241</v>
      </c>
      <c r="D963" s="15" t="n">
        <v>6</v>
      </c>
      <c r="E963" s="27" t="n">
        <f aca="false">F963/2</f>
        <v>3275</v>
      </c>
      <c r="F963" s="16" t="n">
        <v>6550</v>
      </c>
      <c r="G963" s="15" t="s">
        <v>36</v>
      </c>
      <c r="H963" s="17" t="s">
        <v>25</v>
      </c>
      <c r="I963" s="18" t="s">
        <v>26</v>
      </c>
      <c r="J963" s="15" t="n">
        <v>2019</v>
      </c>
      <c r="K963" s="19" t="s">
        <v>27</v>
      </c>
      <c r="L963" s="15" t="s">
        <v>28</v>
      </c>
      <c r="M963" s="15" t="s">
        <v>33</v>
      </c>
      <c r="N963" s="17"/>
      <c r="O963" s="15"/>
      <c r="P963" s="15"/>
      <c r="Q963" s="21"/>
      <c r="R963" s="21"/>
      <c r="S963" s="21"/>
      <c r="T963" s="28"/>
      <c r="U963" s="24"/>
    </row>
    <row r="964" s="25" customFormat="true" ht="41.4" hidden="false" customHeight="false" outlineLevel="0" collapsed="false">
      <c r="A964" s="36" t="s">
        <v>2242</v>
      </c>
      <c r="B964" s="26"/>
      <c r="C964" s="14" t="s">
        <v>2243</v>
      </c>
      <c r="D964" s="15" t="n">
        <v>6</v>
      </c>
      <c r="E964" s="27" t="n">
        <f aca="false">F964/2</f>
        <v>50</v>
      </c>
      <c r="F964" s="16" t="n">
        <v>100</v>
      </c>
      <c r="G964" s="15" t="s">
        <v>36</v>
      </c>
      <c r="H964" s="17" t="s">
        <v>25</v>
      </c>
      <c r="I964" s="18" t="s">
        <v>26</v>
      </c>
      <c r="J964" s="15" t="n">
        <v>2023</v>
      </c>
      <c r="K964" s="19" t="s">
        <v>27</v>
      </c>
      <c r="L964" s="15" t="s">
        <v>28</v>
      </c>
      <c r="M964" s="15" t="s">
        <v>33</v>
      </c>
      <c r="N964" s="17" t="s">
        <v>375</v>
      </c>
      <c r="O964" s="15"/>
      <c r="P964" s="15"/>
      <c r="Q964" s="21"/>
      <c r="R964" s="21"/>
      <c r="S964" s="21"/>
      <c r="T964" s="28"/>
      <c r="U964" s="24"/>
    </row>
    <row r="965" s="25" customFormat="true" ht="41.4" hidden="false" customHeight="false" outlineLevel="0" collapsed="false">
      <c r="A965" s="36" t="s">
        <v>2244</v>
      </c>
      <c r="B965" s="26" t="s">
        <v>2245</v>
      </c>
      <c r="C965" s="14" t="s">
        <v>335</v>
      </c>
      <c r="D965" s="15" t="n">
        <v>4</v>
      </c>
      <c r="E965" s="27" t="n">
        <f aca="false">F965/2</f>
        <v>8000</v>
      </c>
      <c r="F965" s="16" t="n">
        <f aca="false">4*4000</f>
        <v>16000</v>
      </c>
      <c r="G965" s="15" t="s">
        <v>36</v>
      </c>
      <c r="H965" s="17" t="s">
        <v>25</v>
      </c>
      <c r="I965" s="18" t="s">
        <v>26</v>
      </c>
      <c r="J965" s="15" t="n">
        <v>2020</v>
      </c>
      <c r="K965" s="19" t="s">
        <v>27</v>
      </c>
      <c r="L965" s="15" t="s">
        <v>28</v>
      </c>
      <c r="M965" s="15" t="s">
        <v>33</v>
      </c>
      <c r="N965" s="20"/>
      <c r="O965" s="15" t="s">
        <v>250</v>
      </c>
      <c r="P965" s="15"/>
      <c r="Q965" s="21"/>
      <c r="R965" s="21"/>
      <c r="S965" s="21"/>
      <c r="T965" s="28"/>
      <c r="U965" s="34"/>
    </row>
    <row r="966" s="25" customFormat="true" ht="41.4" hidden="false" customHeight="false" outlineLevel="0" collapsed="false">
      <c r="A966" s="36" t="s">
        <v>2246</v>
      </c>
      <c r="B966" s="26" t="s">
        <v>2247</v>
      </c>
      <c r="C966" s="14" t="s">
        <v>2046</v>
      </c>
      <c r="D966" s="15" t="n">
        <v>12</v>
      </c>
      <c r="E966" s="27" t="n">
        <v>13500</v>
      </c>
      <c r="F966" s="16" t="n">
        <v>27000</v>
      </c>
      <c r="G966" s="15" t="s">
        <v>36</v>
      </c>
      <c r="H966" s="17" t="s">
        <v>25</v>
      </c>
      <c r="I966" s="18" t="s">
        <v>26</v>
      </c>
      <c r="J966" s="15" t="n">
        <v>2017</v>
      </c>
      <c r="K966" s="19" t="s">
        <v>27</v>
      </c>
      <c r="L966" s="15" t="s">
        <v>28</v>
      </c>
      <c r="M966" s="15" t="s">
        <v>33</v>
      </c>
      <c r="N966" s="17" t="s">
        <v>83</v>
      </c>
      <c r="O966" s="15"/>
      <c r="P966" s="15"/>
      <c r="Q966" s="21" t="s">
        <v>302</v>
      </c>
      <c r="R966" s="21"/>
      <c r="S966" s="21"/>
      <c r="T966" s="28"/>
      <c r="U966" s="24"/>
    </row>
    <row r="967" s="25" customFormat="true" ht="68.4" hidden="false" customHeight="false" outlineLevel="0" collapsed="false">
      <c r="A967" s="36" t="s">
        <v>2248</v>
      </c>
      <c r="B967" s="26" t="s">
        <v>2249</v>
      </c>
      <c r="C967" s="14" t="s">
        <v>1051</v>
      </c>
      <c r="D967" s="15" t="n">
        <v>8</v>
      </c>
      <c r="E967" s="27" t="n">
        <f aca="false">F967/2</f>
        <v>7920</v>
      </c>
      <c r="F967" s="16" t="n">
        <f aca="false">13200*1.2</f>
        <v>15840</v>
      </c>
      <c r="G967" s="15" t="s">
        <v>24</v>
      </c>
      <c r="H967" s="17" t="s">
        <v>25</v>
      </c>
      <c r="I967" s="18" t="s">
        <v>26</v>
      </c>
      <c r="J967" s="15" t="n">
        <v>2012</v>
      </c>
      <c r="K967" s="19" t="s">
        <v>27</v>
      </c>
      <c r="L967" s="15" t="s">
        <v>28</v>
      </c>
      <c r="M967" s="15" t="s">
        <v>33</v>
      </c>
      <c r="N967" s="17" t="s">
        <v>45</v>
      </c>
      <c r="O967" s="15" t="s">
        <v>46</v>
      </c>
      <c r="P967" s="15"/>
      <c r="Q967" s="21" t="s">
        <v>862</v>
      </c>
      <c r="R967" s="21"/>
      <c r="S967" s="21"/>
      <c r="T967" s="31" t="n">
        <v>45856</v>
      </c>
      <c r="U967" s="24" t="s">
        <v>2250</v>
      </c>
    </row>
    <row r="968" s="25" customFormat="true" ht="41.4" hidden="false" customHeight="false" outlineLevel="0" collapsed="false">
      <c r="A968" s="36" t="s">
        <v>2251</v>
      </c>
      <c r="B968" s="26" t="s">
        <v>2252</v>
      </c>
      <c r="C968" s="14" t="s">
        <v>2253</v>
      </c>
      <c r="D968" s="15" t="n">
        <v>12</v>
      </c>
      <c r="E968" s="27" t="n">
        <f aca="false">F968/2</f>
        <v>1930</v>
      </c>
      <c r="F968" s="16" t="n">
        <v>3860</v>
      </c>
      <c r="G968" s="15" t="s">
        <v>24</v>
      </c>
      <c r="H968" s="17" t="s">
        <v>25</v>
      </c>
      <c r="I968" s="18" t="s">
        <v>26</v>
      </c>
      <c r="J968" s="15" t="n">
        <v>2009</v>
      </c>
      <c r="K968" s="19" t="s">
        <v>27</v>
      </c>
      <c r="L968" s="15" t="s">
        <v>28</v>
      </c>
      <c r="M968" s="15" t="s">
        <v>33</v>
      </c>
      <c r="N968" s="17"/>
      <c r="O968" s="15"/>
      <c r="P968" s="15"/>
      <c r="Q968" s="21" t="s">
        <v>253</v>
      </c>
      <c r="R968" s="21"/>
      <c r="S968" s="21"/>
      <c r="T968" s="28"/>
      <c r="U968" s="24" t="s">
        <v>2254</v>
      </c>
    </row>
    <row r="969" s="25" customFormat="true" ht="45.6" hidden="false" customHeight="false" outlineLevel="0" collapsed="false">
      <c r="A969" s="36" t="s">
        <v>2255</v>
      </c>
      <c r="B969" s="26" t="s">
        <v>2256</v>
      </c>
      <c r="C969" s="14"/>
      <c r="D969" s="15" t="n">
        <v>12</v>
      </c>
      <c r="E969" s="27" t="n">
        <f aca="false">F969/2</f>
        <v>930</v>
      </c>
      <c r="F969" s="16" t="n">
        <f aca="false">12*155</f>
        <v>1860</v>
      </c>
      <c r="G969" s="15" t="s">
        <v>24</v>
      </c>
      <c r="H969" s="17" t="s">
        <v>25</v>
      </c>
      <c r="I969" s="18" t="s">
        <v>26</v>
      </c>
      <c r="J969" s="15" t="n">
        <v>2015</v>
      </c>
      <c r="K969" s="19" t="s">
        <v>27</v>
      </c>
      <c r="L969" s="15" t="s">
        <v>28</v>
      </c>
      <c r="M969" s="15" t="s">
        <v>33</v>
      </c>
      <c r="N969" s="75"/>
      <c r="O969" s="15"/>
      <c r="P969" s="40"/>
      <c r="Q969" s="21" t="s">
        <v>78</v>
      </c>
      <c r="R969" s="21"/>
      <c r="S969" s="21"/>
      <c r="T969" s="31" t="n">
        <v>45882</v>
      </c>
      <c r="U969" s="24" t="s">
        <v>2257</v>
      </c>
    </row>
    <row r="970" s="25" customFormat="true" ht="41.4" hidden="false" customHeight="false" outlineLevel="0" collapsed="false">
      <c r="A970" s="36" t="s">
        <v>2258</v>
      </c>
      <c r="B970" s="26"/>
      <c r="C970" s="14" t="s">
        <v>1992</v>
      </c>
      <c r="D970" s="15" t="n">
        <v>6</v>
      </c>
      <c r="E970" s="16" t="n">
        <f aca="false">F970/2</f>
        <v>50</v>
      </c>
      <c r="F970" s="16" t="n">
        <v>100</v>
      </c>
      <c r="G970" s="15" t="s">
        <v>36</v>
      </c>
      <c r="H970" s="17" t="s">
        <v>25</v>
      </c>
      <c r="I970" s="18" t="s">
        <v>26</v>
      </c>
      <c r="J970" s="15" t="n">
        <v>2025</v>
      </c>
      <c r="K970" s="19" t="s">
        <v>1325</v>
      </c>
      <c r="L970" s="15" t="s">
        <v>28</v>
      </c>
      <c r="M970" s="15" t="s">
        <v>33</v>
      </c>
      <c r="N970" s="17"/>
      <c r="O970" s="15"/>
      <c r="P970" s="15"/>
      <c r="Q970" s="21"/>
      <c r="R970" s="21"/>
      <c r="S970" s="21" t="s">
        <v>113</v>
      </c>
      <c r="T970" s="31" t="n">
        <v>45855</v>
      </c>
      <c r="U970" s="24"/>
    </row>
    <row r="971" s="25" customFormat="true" ht="41.4" hidden="false" customHeight="false" outlineLevel="0" collapsed="false">
      <c r="A971" s="12" t="s">
        <v>2259</v>
      </c>
      <c r="B971" s="26"/>
      <c r="C971" s="14" t="s">
        <v>260</v>
      </c>
      <c r="D971" s="15" t="n">
        <v>4</v>
      </c>
      <c r="E971" s="27"/>
      <c r="F971" s="16"/>
      <c r="G971" s="15" t="s">
        <v>36</v>
      </c>
      <c r="H971" s="17" t="s">
        <v>25</v>
      </c>
      <c r="I971" s="18" t="s">
        <v>26</v>
      </c>
      <c r="J971" s="15" t="n">
        <v>2021</v>
      </c>
      <c r="K971" s="19" t="s">
        <v>27</v>
      </c>
      <c r="L971" s="15" t="s">
        <v>28</v>
      </c>
      <c r="M971" s="15" t="s">
        <v>33</v>
      </c>
      <c r="N971" s="20"/>
      <c r="O971" s="15"/>
      <c r="P971" s="15"/>
      <c r="Q971" s="21"/>
      <c r="R971" s="21"/>
      <c r="S971" s="21"/>
      <c r="T971" s="28"/>
      <c r="U971" s="34"/>
    </row>
    <row r="972" s="25" customFormat="true" ht="41.4" hidden="false" customHeight="false" outlineLevel="0" collapsed="false">
      <c r="A972" s="36" t="s">
        <v>2260</v>
      </c>
      <c r="B972" s="26" t="s">
        <v>2261</v>
      </c>
      <c r="C972" s="14" t="s">
        <v>182</v>
      </c>
      <c r="D972" s="15" t="n">
        <v>6</v>
      </c>
      <c r="E972" s="27" t="n">
        <v>1200</v>
      </c>
      <c r="F972" s="16" t="n">
        <v>2400</v>
      </c>
      <c r="G972" s="15" t="s">
        <v>24</v>
      </c>
      <c r="H972" s="17" t="s">
        <v>25</v>
      </c>
      <c r="I972" s="18" t="s">
        <v>26</v>
      </c>
      <c r="J972" s="15" t="n">
        <v>2017</v>
      </c>
      <c r="K972" s="19" t="s">
        <v>27</v>
      </c>
      <c r="L972" s="15" t="s">
        <v>28</v>
      </c>
      <c r="M972" s="15" t="s">
        <v>33</v>
      </c>
      <c r="N972" s="17" t="s">
        <v>45</v>
      </c>
      <c r="O972" s="15"/>
      <c r="P972" s="15"/>
      <c r="Q972" s="21" t="s">
        <v>1972</v>
      </c>
      <c r="R972" s="21"/>
      <c r="S972" s="21"/>
      <c r="T972" s="28"/>
      <c r="U972" s="24"/>
    </row>
    <row r="973" s="25" customFormat="true" ht="41.4" hidden="false" customHeight="false" outlineLevel="0" collapsed="false">
      <c r="A973" s="36" t="s">
        <v>2262</v>
      </c>
      <c r="B973" s="26" t="s">
        <v>2263</v>
      </c>
      <c r="C973" s="14" t="s">
        <v>1070</v>
      </c>
      <c r="D973" s="15" t="n">
        <v>4</v>
      </c>
      <c r="E973" s="27" t="n">
        <f aca="false">F973/2</f>
        <v>2074</v>
      </c>
      <c r="F973" s="16" t="n">
        <v>4148</v>
      </c>
      <c r="G973" s="15" t="s">
        <v>24</v>
      </c>
      <c r="H973" s="17" t="s">
        <v>25</v>
      </c>
      <c r="I973" s="18" t="s">
        <v>26</v>
      </c>
      <c r="J973" s="15" t="n">
        <v>2017</v>
      </c>
      <c r="K973" s="19" t="s">
        <v>27</v>
      </c>
      <c r="L973" s="15" t="s">
        <v>28</v>
      </c>
      <c r="M973" s="15" t="s">
        <v>33</v>
      </c>
      <c r="N973" s="20"/>
      <c r="O973" s="61"/>
      <c r="P973" s="15"/>
      <c r="Q973" s="21" t="s">
        <v>247</v>
      </c>
      <c r="R973" s="21" t="s">
        <v>2264</v>
      </c>
      <c r="S973" s="21"/>
      <c r="T973" s="31" t="n">
        <v>45909</v>
      </c>
      <c r="U973" s="24"/>
    </row>
    <row r="974" s="25" customFormat="true" ht="41.4" hidden="false" customHeight="false" outlineLevel="0" collapsed="false">
      <c r="A974" s="36" t="s">
        <v>2265</v>
      </c>
      <c r="B974" s="26" t="s">
        <v>2266</v>
      </c>
      <c r="C974" s="14" t="s">
        <v>197</v>
      </c>
      <c r="D974" s="15" t="n">
        <v>6</v>
      </c>
      <c r="E974" s="27" t="n">
        <f aca="false">F974/2</f>
        <v>2062.5</v>
      </c>
      <c r="F974" s="16" t="n">
        <v>4125</v>
      </c>
      <c r="G974" s="15" t="s">
        <v>36</v>
      </c>
      <c r="H974" s="17" t="s">
        <v>25</v>
      </c>
      <c r="I974" s="18" t="s">
        <v>26</v>
      </c>
      <c r="J974" s="15" t="n">
        <v>2020</v>
      </c>
      <c r="K974" s="19" t="s">
        <v>27</v>
      </c>
      <c r="L974" s="15" t="s">
        <v>28</v>
      </c>
      <c r="M974" s="15" t="s">
        <v>33</v>
      </c>
      <c r="N974" s="20"/>
      <c r="O974" s="15"/>
      <c r="P974" s="15"/>
      <c r="Q974" s="21"/>
      <c r="R974" s="21"/>
      <c r="S974" s="21"/>
      <c r="T974" s="28"/>
      <c r="U974" s="34"/>
    </row>
    <row r="975" s="25" customFormat="true" ht="41.4" hidden="false" customHeight="false" outlineLevel="0" collapsed="false">
      <c r="A975" s="76" t="s">
        <v>2267</v>
      </c>
      <c r="B975" s="77" t="s">
        <v>2268</v>
      </c>
      <c r="C975" s="78" t="s">
        <v>197</v>
      </c>
      <c r="D975" s="79" t="n">
        <v>4</v>
      </c>
      <c r="E975" s="51" t="n">
        <f aca="false">F975/2</f>
        <v>200</v>
      </c>
      <c r="F975" s="52" t="n">
        <v>400</v>
      </c>
      <c r="G975" s="15" t="s">
        <v>36</v>
      </c>
      <c r="H975" s="17" t="s">
        <v>25</v>
      </c>
      <c r="I975" s="18" t="s">
        <v>26</v>
      </c>
      <c r="J975" s="15" t="n">
        <v>2020</v>
      </c>
      <c r="K975" s="19" t="s">
        <v>27</v>
      </c>
      <c r="L975" s="15" t="s">
        <v>28</v>
      </c>
      <c r="M975" s="15" t="s">
        <v>33</v>
      </c>
      <c r="N975" s="20"/>
      <c r="O975" s="15"/>
      <c r="P975" s="15"/>
      <c r="Q975" s="21"/>
      <c r="R975" s="21"/>
      <c r="S975" s="21"/>
      <c r="T975" s="28"/>
      <c r="U975" s="34"/>
    </row>
    <row r="976" s="25" customFormat="true" ht="41.4" hidden="false" customHeight="false" outlineLevel="0" collapsed="false">
      <c r="A976" s="36" t="s">
        <v>2269</v>
      </c>
      <c r="B976" s="26" t="s">
        <v>2270</v>
      </c>
      <c r="C976" s="14" t="s">
        <v>197</v>
      </c>
      <c r="D976" s="15" t="n">
        <v>4</v>
      </c>
      <c r="E976" s="27" t="n">
        <f aca="false">F976/2</f>
        <v>625</v>
      </c>
      <c r="F976" s="16" t="n">
        <v>1250</v>
      </c>
      <c r="G976" s="15" t="s">
        <v>36</v>
      </c>
      <c r="H976" s="17" t="s">
        <v>25</v>
      </c>
      <c r="I976" s="18" t="s">
        <v>26</v>
      </c>
      <c r="J976" s="15" t="n">
        <v>2020</v>
      </c>
      <c r="K976" s="19" t="s">
        <v>27</v>
      </c>
      <c r="L976" s="15" t="s">
        <v>28</v>
      </c>
      <c r="M976" s="15" t="s">
        <v>33</v>
      </c>
      <c r="N976" s="20"/>
      <c r="O976" s="15"/>
      <c r="P976" s="15"/>
      <c r="Q976" s="21"/>
      <c r="R976" s="21"/>
      <c r="S976" s="21"/>
      <c r="T976" s="28"/>
      <c r="U976" s="34"/>
    </row>
    <row r="977" s="25" customFormat="true" ht="41.4" hidden="false" customHeight="false" outlineLevel="0" collapsed="false">
      <c r="A977" s="36" t="s">
        <v>2271</v>
      </c>
      <c r="B977" s="26" t="s">
        <v>2272</v>
      </c>
      <c r="C977" s="14" t="s">
        <v>335</v>
      </c>
      <c r="D977" s="15" t="n">
        <v>8</v>
      </c>
      <c r="E977" s="27" t="n">
        <f aca="false">F977/2</f>
        <v>26400</v>
      </c>
      <c r="F977" s="16" t="n">
        <f aca="false">8*6600</f>
        <v>52800</v>
      </c>
      <c r="G977" s="15" t="s">
        <v>36</v>
      </c>
      <c r="H977" s="17" t="s">
        <v>25</v>
      </c>
      <c r="I977" s="18" t="s">
        <v>26</v>
      </c>
      <c r="J977" s="15" t="n">
        <v>2020</v>
      </c>
      <c r="K977" s="19" t="s">
        <v>27</v>
      </c>
      <c r="L977" s="15" t="s">
        <v>28</v>
      </c>
      <c r="M977" s="15" t="s">
        <v>33</v>
      </c>
      <c r="N977" s="20"/>
      <c r="O977" s="15" t="s">
        <v>46</v>
      </c>
      <c r="P977" s="15"/>
      <c r="Q977" s="21"/>
      <c r="R977" s="21"/>
      <c r="S977" s="21"/>
      <c r="T977" s="28"/>
      <c r="U977" s="34"/>
    </row>
    <row r="978" s="25" customFormat="true" ht="41.4" hidden="false" customHeight="false" outlineLevel="0" collapsed="false">
      <c r="A978" s="36" t="s">
        <v>2273</v>
      </c>
      <c r="B978" s="26" t="s">
        <v>2274</v>
      </c>
      <c r="C978" s="14" t="s">
        <v>233</v>
      </c>
      <c r="D978" s="15" t="n">
        <v>12</v>
      </c>
      <c r="E978" s="27" t="n">
        <f aca="false">F978/2</f>
        <v>4300</v>
      </c>
      <c r="F978" s="16" t="n">
        <v>8600</v>
      </c>
      <c r="G978" s="15" t="s">
        <v>36</v>
      </c>
      <c r="H978" s="17" t="s">
        <v>25</v>
      </c>
      <c r="I978" s="18" t="s">
        <v>26</v>
      </c>
      <c r="J978" s="15" t="n">
        <v>2021</v>
      </c>
      <c r="K978" s="19" t="s">
        <v>234</v>
      </c>
      <c r="L978" s="15" t="s">
        <v>28</v>
      </c>
      <c r="M978" s="15" t="s">
        <v>33</v>
      </c>
      <c r="N978" s="20"/>
      <c r="O978" s="15"/>
      <c r="P978" s="15"/>
      <c r="Q978" s="21"/>
      <c r="R978" s="21"/>
      <c r="S978" s="21"/>
      <c r="T978" s="28"/>
      <c r="U978" s="34"/>
    </row>
    <row r="979" s="25" customFormat="true" ht="41.4" hidden="false" customHeight="false" outlineLevel="0" collapsed="false">
      <c r="A979" s="36" t="s">
        <v>2275</v>
      </c>
      <c r="B979" s="26" t="s">
        <v>2276</v>
      </c>
      <c r="C979" s="14" t="s">
        <v>1070</v>
      </c>
      <c r="D979" s="15" t="n">
        <v>4</v>
      </c>
      <c r="E979" s="27" t="n">
        <f aca="false">F979/2</f>
        <v>2145</v>
      </c>
      <c r="F979" s="16" t="n">
        <v>4290</v>
      </c>
      <c r="G979" s="15" t="s">
        <v>36</v>
      </c>
      <c r="H979" s="17" t="s">
        <v>25</v>
      </c>
      <c r="I979" s="18" t="s">
        <v>26</v>
      </c>
      <c r="J979" s="15" t="n">
        <v>2017</v>
      </c>
      <c r="K979" s="19" t="s">
        <v>27</v>
      </c>
      <c r="L979" s="15" t="s">
        <v>28</v>
      </c>
      <c r="M979" s="15" t="s">
        <v>33</v>
      </c>
      <c r="N979" s="20" t="s">
        <v>649</v>
      </c>
      <c r="O979" s="15"/>
      <c r="P979" s="15"/>
      <c r="Q979" s="21" t="s">
        <v>247</v>
      </c>
      <c r="R979" s="21"/>
      <c r="S979" s="21"/>
      <c r="T979" s="31" t="n">
        <v>45909</v>
      </c>
      <c r="U979" s="24" t="s">
        <v>248</v>
      </c>
    </row>
    <row r="980" s="25" customFormat="true" ht="41.4" hidden="false" customHeight="false" outlineLevel="0" collapsed="false">
      <c r="A980" s="36" t="s">
        <v>2277</v>
      </c>
      <c r="B980" s="26" t="s">
        <v>2278</v>
      </c>
      <c r="C980" s="14" t="s">
        <v>1532</v>
      </c>
      <c r="D980" s="15" t="n">
        <v>6</v>
      </c>
      <c r="E980" s="27" t="n">
        <f aca="false">F980/2</f>
        <v>750</v>
      </c>
      <c r="F980" s="16" t="n">
        <v>1500</v>
      </c>
      <c r="G980" s="15" t="s">
        <v>36</v>
      </c>
      <c r="H980" s="17" t="s">
        <v>25</v>
      </c>
      <c r="I980" s="18" t="s">
        <v>26</v>
      </c>
      <c r="J980" s="15" t="n">
        <v>2016</v>
      </c>
      <c r="K980" s="19" t="s">
        <v>65</v>
      </c>
      <c r="L980" s="15" t="s">
        <v>82</v>
      </c>
      <c r="M980" s="15" t="s">
        <v>33</v>
      </c>
      <c r="N980" s="17" t="s">
        <v>96</v>
      </c>
      <c r="O980" s="15"/>
      <c r="P980" s="15"/>
      <c r="Q980" s="21" t="s">
        <v>577</v>
      </c>
      <c r="R980" s="21"/>
      <c r="S980" s="21"/>
      <c r="T980" s="28"/>
      <c r="U980" s="24"/>
    </row>
    <row r="981" s="25" customFormat="true" ht="41.4" hidden="false" customHeight="false" outlineLevel="0" collapsed="false">
      <c r="A981" s="36" t="s">
        <v>2279</v>
      </c>
      <c r="B981" s="26" t="s">
        <v>2280</v>
      </c>
      <c r="C981" s="14" t="s">
        <v>179</v>
      </c>
      <c r="D981" s="15" t="n">
        <v>6</v>
      </c>
      <c r="E981" s="27" t="n">
        <f aca="false">F981/2</f>
        <v>7200</v>
      </c>
      <c r="F981" s="16" t="n">
        <f aca="false">12000*1.2</f>
        <v>14400</v>
      </c>
      <c r="G981" s="15" t="s">
        <v>36</v>
      </c>
      <c r="H981" s="17" t="s">
        <v>25</v>
      </c>
      <c r="I981" s="18" t="s">
        <v>26</v>
      </c>
      <c r="J981" s="15" t="n">
        <v>2021</v>
      </c>
      <c r="K981" s="19" t="s">
        <v>27</v>
      </c>
      <c r="L981" s="15" t="s">
        <v>28</v>
      </c>
      <c r="M981" s="15" t="s">
        <v>33</v>
      </c>
      <c r="N981" s="17"/>
      <c r="O981" s="15"/>
      <c r="P981" s="15"/>
      <c r="Q981" s="21" t="s">
        <v>78</v>
      </c>
      <c r="R981" s="21"/>
      <c r="S981" s="21"/>
      <c r="T981" s="28"/>
      <c r="U981" s="24"/>
    </row>
    <row r="982" s="25" customFormat="true" ht="45.6" hidden="false" customHeight="false" outlineLevel="0" collapsed="false">
      <c r="A982" s="36" t="s">
        <v>2281</v>
      </c>
      <c r="B982" s="26" t="s">
        <v>2282</v>
      </c>
      <c r="C982" s="14" t="s">
        <v>2283</v>
      </c>
      <c r="D982" s="15" t="n">
        <v>12</v>
      </c>
      <c r="E982" s="27" t="n">
        <f aca="false">F982/2</f>
        <v>720</v>
      </c>
      <c r="F982" s="16" t="n">
        <f aca="false">1200*1.2</f>
        <v>1440</v>
      </c>
      <c r="G982" s="15" t="s">
        <v>24</v>
      </c>
      <c r="H982" s="17" t="s">
        <v>25</v>
      </c>
      <c r="I982" s="18" t="s">
        <v>26</v>
      </c>
      <c r="J982" s="15" t="n">
        <v>2005</v>
      </c>
      <c r="K982" s="19" t="s">
        <v>27</v>
      </c>
      <c r="L982" s="15" t="s">
        <v>28</v>
      </c>
      <c r="M982" s="15" t="s">
        <v>33</v>
      </c>
      <c r="N982" s="17" t="s">
        <v>454</v>
      </c>
      <c r="O982" s="15" t="s">
        <v>54</v>
      </c>
      <c r="P982" s="15"/>
      <c r="Q982" s="21" t="s">
        <v>455</v>
      </c>
      <c r="R982" s="21"/>
      <c r="S982" s="21"/>
      <c r="T982" s="28"/>
      <c r="U982" s="24" t="s">
        <v>2284</v>
      </c>
    </row>
    <row r="983" s="25" customFormat="true" ht="41.4" hidden="false" customHeight="false" outlineLevel="0" collapsed="false">
      <c r="A983" s="36" t="s">
        <v>2285</v>
      </c>
      <c r="B983" s="26" t="s">
        <v>2286</v>
      </c>
      <c r="C983" s="14" t="s">
        <v>401</v>
      </c>
      <c r="D983" s="15" t="n">
        <v>4</v>
      </c>
      <c r="E983" s="27" t="n">
        <f aca="false">F983/2</f>
        <v>2000</v>
      </c>
      <c r="F983" s="16" t="n">
        <v>4000</v>
      </c>
      <c r="G983" s="15" t="s">
        <v>36</v>
      </c>
      <c r="H983" s="17" t="s">
        <v>25</v>
      </c>
      <c r="I983" s="18" t="s">
        <v>26</v>
      </c>
      <c r="J983" s="15" t="n">
        <v>2018</v>
      </c>
      <c r="K983" s="19" t="s">
        <v>27</v>
      </c>
      <c r="L983" s="15" t="s">
        <v>28</v>
      </c>
      <c r="M983" s="15" t="s">
        <v>33</v>
      </c>
      <c r="N983" s="17"/>
      <c r="O983" s="15"/>
      <c r="P983" s="15"/>
      <c r="Q983" s="21" t="s">
        <v>78</v>
      </c>
      <c r="R983" s="21"/>
      <c r="S983" s="21"/>
      <c r="T983" s="28"/>
      <c r="U983" s="24"/>
    </row>
    <row r="984" s="25" customFormat="true" ht="41.4" hidden="false" customHeight="false" outlineLevel="0" collapsed="false">
      <c r="A984" s="36" t="s">
        <v>2287</v>
      </c>
      <c r="B984" s="26" t="s">
        <v>2288</v>
      </c>
      <c r="C984" s="14" t="s">
        <v>401</v>
      </c>
      <c r="D984" s="15" t="n">
        <v>4</v>
      </c>
      <c r="E984" s="27" t="n">
        <f aca="false">F984/2</f>
        <v>3000</v>
      </c>
      <c r="F984" s="16" t="n">
        <v>6000</v>
      </c>
      <c r="G984" s="15" t="s">
        <v>36</v>
      </c>
      <c r="H984" s="17" t="s">
        <v>25</v>
      </c>
      <c r="I984" s="18" t="s">
        <v>26</v>
      </c>
      <c r="J984" s="15" t="n">
        <v>2018</v>
      </c>
      <c r="K984" s="19" t="s">
        <v>27</v>
      </c>
      <c r="L984" s="15" t="s">
        <v>28</v>
      </c>
      <c r="M984" s="15" t="s">
        <v>33</v>
      </c>
      <c r="N984" s="17"/>
      <c r="O984" s="15"/>
      <c r="P984" s="15"/>
      <c r="Q984" s="21" t="s">
        <v>78</v>
      </c>
      <c r="R984" s="21"/>
      <c r="S984" s="21"/>
      <c r="T984" s="28"/>
      <c r="U984" s="24"/>
    </row>
    <row r="985" s="25" customFormat="true" ht="41.4" hidden="false" customHeight="false" outlineLevel="0" collapsed="false">
      <c r="A985" s="36" t="s">
        <v>2289</v>
      </c>
      <c r="B985" s="26" t="s">
        <v>2286</v>
      </c>
      <c r="C985" s="14" t="s">
        <v>401</v>
      </c>
      <c r="D985" s="15" t="n">
        <v>4</v>
      </c>
      <c r="E985" s="27" t="n">
        <f aca="false">F985/2</f>
        <v>2000</v>
      </c>
      <c r="F985" s="16" t="n">
        <v>4000</v>
      </c>
      <c r="G985" s="15" t="s">
        <v>36</v>
      </c>
      <c r="H985" s="17" t="s">
        <v>25</v>
      </c>
      <c r="I985" s="18" t="s">
        <v>26</v>
      </c>
      <c r="J985" s="15" t="n">
        <v>2018</v>
      </c>
      <c r="K985" s="19" t="s">
        <v>27</v>
      </c>
      <c r="L985" s="15" t="s">
        <v>28</v>
      </c>
      <c r="M985" s="15" t="s">
        <v>33</v>
      </c>
      <c r="N985" s="17"/>
      <c r="O985" s="15"/>
      <c r="P985" s="15"/>
      <c r="Q985" s="21" t="s">
        <v>78</v>
      </c>
      <c r="R985" s="21"/>
      <c r="S985" s="21"/>
      <c r="T985" s="28"/>
      <c r="U985" s="24"/>
    </row>
    <row r="986" s="25" customFormat="true" ht="41.4" hidden="false" customHeight="false" outlineLevel="0" collapsed="false">
      <c r="A986" s="36" t="s">
        <v>2290</v>
      </c>
      <c r="B986" s="26"/>
      <c r="C986" s="14" t="s">
        <v>401</v>
      </c>
      <c r="D986" s="15" t="n">
        <v>6</v>
      </c>
      <c r="E986" s="27" t="n">
        <f aca="false">F986/2</f>
        <v>3000</v>
      </c>
      <c r="F986" s="16" t="n">
        <v>6000</v>
      </c>
      <c r="G986" s="15" t="s">
        <v>36</v>
      </c>
      <c r="H986" s="17" t="s">
        <v>25</v>
      </c>
      <c r="I986" s="18" t="s">
        <v>26</v>
      </c>
      <c r="J986" s="15" t="n">
        <v>2018</v>
      </c>
      <c r="K986" s="19" t="s">
        <v>27</v>
      </c>
      <c r="L986" s="15" t="s">
        <v>28</v>
      </c>
      <c r="M986" s="15" t="s">
        <v>33</v>
      </c>
      <c r="N986" s="17" t="s">
        <v>53</v>
      </c>
      <c r="O986" s="15"/>
      <c r="P986" s="15"/>
      <c r="Q986" s="21" t="s">
        <v>78</v>
      </c>
      <c r="R986" s="21"/>
      <c r="S986" s="21"/>
      <c r="T986" s="28"/>
      <c r="U986" s="24"/>
    </row>
    <row r="987" s="25" customFormat="true" ht="41.4" hidden="false" customHeight="false" outlineLevel="0" collapsed="false">
      <c r="A987" s="36" t="s">
        <v>2291</v>
      </c>
      <c r="B987" s="26"/>
      <c r="C987" s="14" t="s">
        <v>401</v>
      </c>
      <c r="D987" s="15" t="n">
        <v>4</v>
      </c>
      <c r="E987" s="27" t="n">
        <f aca="false">F987/2</f>
        <v>2000</v>
      </c>
      <c r="F987" s="16" t="n">
        <v>4000</v>
      </c>
      <c r="G987" s="15" t="s">
        <v>36</v>
      </c>
      <c r="H987" s="17" t="s">
        <v>25</v>
      </c>
      <c r="I987" s="18" t="s">
        <v>26</v>
      </c>
      <c r="J987" s="15" t="n">
        <v>2018</v>
      </c>
      <c r="K987" s="19" t="s">
        <v>27</v>
      </c>
      <c r="L987" s="15" t="s">
        <v>28</v>
      </c>
      <c r="M987" s="15" t="s">
        <v>33</v>
      </c>
      <c r="N987" s="17" t="s">
        <v>53</v>
      </c>
      <c r="O987" s="15"/>
      <c r="P987" s="15"/>
      <c r="Q987" s="21" t="s">
        <v>78</v>
      </c>
      <c r="R987" s="21"/>
      <c r="S987" s="21"/>
      <c r="T987" s="28"/>
      <c r="U987" s="24"/>
    </row>
    <row r="988" s="25" customFormat="true" ht="41.4" hidden="false" customHeight="false" outlineLevel="0" collapsed="false">
      <c r="A988" s="36" t="s">
        <v>2292</v>
      </c>
      <c r="B988" s="26"/>
      <c r="C988" s="14" t="s">
        <v>144</v>
      </c>
      <c r="D988" s="15" t="n">
        <v>4</v>
      </c>
      <c r="E988" s="16" t="n">
        <f aca="false">F988/2</f>
        <v>50</v>
      </c>
      <c r="F988" s="16" t="n">
        <v>100</v>
      </c>
      <c r="G988" s="15" t="s">
        <v>36</v>
      </c>
      <c r="H988" s="17" t="s">
        <v>25</v>
      </c>
      <c r="I988" s="18" t="s">
        <v>26</v>
      </c>
      <c r="J988" s="15" t="n">
        <v>2025</v>
      </c>
      <c r="K988" s="19" t="s">
        <v>145</v>
      </c>
      <c r="L988" s="15" t="s">
        <v>28</v>
      </c>
      <c r="M988" s="15" t="s">
        <v>33</v>
      </c>
      <c r="N988" s="17"/>
      <c r="O988" s="15"/>
      <c r="P988" s="15"/>
      <c r="Q988" s="21"/>
      <c r="R988" s="21"/>
      <c r="S988" s="21" t="s">
        <v>113</v>
      </c>
      <c r="T988" s="31" t="n">
        <v>45880</v>
      </c>
      <c r="U988" s="24"/>
    </row>
    <row r="989" s="25" customFormat="true" ht="41.4" hidden="false" customHeight="false" outlineLevel="0" collapsed="false">
      <c r="A989" s="36" t="s">
        <v>2293</v>
      </c>
      <c r="B989" s="26"/>
      <c r="C989" s="14" t="s">
        <v>144</v>
      </c>
      <c r="D989" s="15" t="n">
        <v>2</v>
      </c>
      <c r="E989" s="16" t="n">
        <f aca="false">F989/2</f>
        <v>50</v>
      </c>
      <c r="F989" s="16" t="n">
        <v>100</v>
      </c>
      <c r="G989" s="15" t="s">
        <v>36</v>
      </c>
      <c r="H989" s="17" t="s">
        <v>25</v>
      </c>
      <c r="I989" s="18" t="s">
        <v>26</v>
      </c>
      <c r="J989" s="15" t="n">
        <v>2025</v>
      </c>
      <c r="K989" s="19" t="s">
        <v>145</v>
      </c>
      <c r="L989" s="15" t="s">
        <v>28</v>
      </c>
      <c r="M989" s="15" t="s">
        <v>33</v>
      </c>
      <c r="N989" s="17"/>
      <c r="O989" s="15"/>
      <c r="P989" s="15"/>
      <c r="Q989" s="21"/>
      <c r="R989" s="21"/>
      <c r="S989" s="21" t="s">
        <v>113</v>
      </c>
      <c r="T989" s="31" t="n">
        <v>45880</v>
      </c>
      <c r="U989" s="24"/>
    </row>
    <row r="990" s="25" customFormat="true" ht="41.4" hidden="false" customHeight="false" outlineLevel="0" collapsed="false">
      <c r="A990" s="36" t="s">
        <v>2294</v>
      </c>
      <c r="B990" s="26"/>
      <c r="C990" s="14" t="s">
        <v>35</v>
      </c>
      <c r="D990" s="15" t="n">
        <v>4</v>
      </c>
      <c r="E990" s="27" t="n">
        <f aca="false">F990/2</f>
        <v>50</v>
      </c>
      <c r="F990" s="16" t="n">
        <v>100</v>
      </c>
      <c r="G990" s="15" t="s">
        <v>36</v>
      </c>
      <c r="H990" s="17" t="s">
        <v>25</v>
      </c>
      <c r="I990" s="18" t="s">
        <v>26</v>
      </c>
      <c r="J990" s="15" t="n">
        <v>2025</v>
      </c>
      <c r="K990" s="19" t="s">
        <v>37</v>
      </c>
      <c r="L990" s="15" t="s">
        <v>28</v>
      </c>
      <c r="M990" s="15"/>
      <c r="N990" s="17"/>
      <c r="O990" s="15"/>
      <c r="P990" s="15"/>
      <c r="Q990" s="21"/>
      <c r="R990" s="21"/>
      <c r="S990" s="21"/>
      <c r="T990" s="28"/>
      <c r="U990" s="24"/>
    </row>
    <row r="991" s="25" customFormat="true" ht="41.4" hidden="false" customHeight="false" outlineLevel="0" collapsed="false">
      <c r="A991" s="36" t="s">
        <v>2295</v>
      </c>
      <c r="B991" s="26"/>
      <c r="C991" s="14" t="s">
        <v>144</v>
      </c>
      <c r="D991" s="15" t="n">
        <v>4</v>
      </c>
      <c r="E991" s="16" t="n">
        <f aca="false">F991/2</f>
        <v>50</v>
      </c>
      <c r="F991" s="16" t="n">
        <v>100</v>
      </c>
      <c r="G991" s="15" t="s">
        <v>36</v>
      </c>
      <c r="H991" s="17" t="s">
        <v>25</v>
      </c>
      <c r="I991" s="18" t="s">
        <v>26</v>
      </c>
      <c r="J991" s="15" t="n">
        <v>2025</v>
      </c>
      <c r="K991" s="19" t="s">
        <v>145</v>
      </c>
      <c r="L991" s="15" t="s">
        <v>28</v>
      </c>
      <c r="M991" s="15" t="s">
        <v>33</v>
      </c>
      <c r="N991" s="17"/>
      <c r="O991" s="15"/>
      <c r="P991" s="15"/>
      <c r="Q991" s="21"/>
      <c r="R991" s="21"/>
      <c r="S991" s="21" t="s">
        <v>113</v>
      </c>
      <c r="T991" s="31" t="n">
        <v>45880</v>
      </c>
      <c r="U991" s="24"/>
    </row>
    <row r="992" s="25" customFormat="true" ht="41.4" hidden="false" customHeight="false" outlineLevel="0" collapsed="false">
      <c r="A992" s="36" t="s">
        <v>2296</v>
      </c>
      <c r="B992" s="26"/>
      <c r="C992" s="14" t="s">
        <v>144</v>
      </c>
      <c r="D992" s="15" t="n">
        <v>4</v>
      </c>
      <c r="E992" s="16" t="n">
        <f aca="false">F992/2</f>
        <v>50</v>
      </c>
      <c r="F992" s="16" t="n">
        <v>100</v>
      </c>
      <c r="G992" s="15" t="s">
        <v>36</v>
      </c>
      <c r="H992" s="17" t="s">
        <v>25</v>
      </c>
      <c r="I992" s="18" t="s">
        <v>26</v>
      </c>
      <c r="J992" s="15" t="n">
        <v>2025</v>
      </c>
      <c r="K992" s="19" t="s">
        <v>145</v>
      </c>
      <c r="L992" s="15" t="s">
        <v>28</v>
      </c>
      <c r="M992" s="15" t="s">
        <v>33</v>
      </c>
      <c r="N992" s="17"/>
      <c r="O992" s="15"/>
      <c r="P992" s="15"/>
      <c r="Q992" s="21"/>
      <c r="R992" s="21"/>
      <c r="S992" s="21" t="s">
        <v>113</v>
      </c>
      <c r="T992" s="31" t="n">
        <v>45880</v>
      </c>
      <c r="U992" s="24"/>
    </row>
    <row r="993" s="25" customFormat="true" ht="41.4" hidden="false" customHeight="false" outlineLevel="0" collapsed="false">
      <c r="A993" s="36" t="s">
        <v>2297</v>
      </c>
      <c r="B993" s="26"/>
      <c r="C993" s="14" t="s">
        <v>144</v>
      </c>
      <c r="D993" s="15" t="n">
        <v>4</v>
      </c>
      <c r="E993" s="16" t="n">
        <f aca="false">F993/2</f>
        <v>50</v>
      </c>
      <c r="F993" s="16" t="n">
        <v>100</v>
      </c>
      <c r="G993" s="15" t="s">
        <v>36</v>
      </c>
      <c r="H993" s="17" t="s">
        <v>25</v>
      </c>
      <c r="I993" s="18" t="s">
        <v>26</v>
      </c>
      <c r="J993" s="15" t="n">
        <v>2025</v>
      </c>
      <c r="K993" s="19" t="s">
        <v>145</v>
      </c>
      <c r="L993" s="15" t="s">
        <v>28</v>
      </c>
      <c r="M993" s="15" t="s">
        <v>33</v>
      </c>
      <c r="N993" s="17"/>
      <c r="O993" s="15"/>
      <c r="P993" s="15"/>
      <c r="Q993" s="21"/>
      <c r="R993" s="21"/>
      <c r="S993" s="21" t="s">
        <v>113</v>
      </c>
      <c r="T993" s="31" t="n">
        <v>45880</v>
      </c>
      <c r="U993" s="24"/>
    </row>
    <row r="994" s="25" customFormat="true" ht="41.4" hidden="false" customHeight="false" outlineLevel="0" collapsed="false">
      <c r="A994" s="36" t="s">
        <v>2298</v>
      </c>
      <c r="B994" s="26"/>
      <c r="C994" s="14" t="s">
        <v>144</v>
      </c>
      <c r="D994" s="15" t="n">
        <v>4</v>
      </c>
      <c r="E994" s="16" t="n">
        <f aca="false">F994/2</f>
        <v>50</v>
      </c>
      <c r="F994" s="16" t="n">
        <v>100</v>
      </c>
      <c r="G994" s="15" t="s">
        <v>36</v>
      </c>
      <c r="H994" s="17" t="s">
        <v>25</v>
      </c>
      <c r="I994" s="18" t="s">
        <v>26</v>
      </c>
      <c r="J994" s="15" t="n">
        <v>2025</v>
      </c>
      <c r="K994" s="19" t="s">
        <v>145</v>
      </c>
      <c r="L994" s="15" t="s">
        <v>28</v>
      </c>
      <c r="M994" s="15" t="s">
        <v>33</v>
      </c>
      <c r="N994" s="17"/>
      <c r="O994" s="15"/>
      <c r="P994" s="15"/>
      <c r="Q994" s="21"/>
      <c r="R994" s="21"/>
      <c r="S994" s="21" t="s">
        <v>113</v>
      </c>
      <c r="T994" s="31" t="n">
        <v>45880</v>
      </c>
      <c r="U994" s="24"/>
    </row>
    <row r="995" s="25" customFormat="true" ht="41.4" hidden="false" customHeight="false" outlineLevel="0" collapsed="false">
      <c r="A995" s="36" t="s">
        <v>2299</v>
      </c>
      <c r="B995" s="26"/>
      <c r="C995" s="14" t="s">
        <v>144</v>
      </c>
      <c r="D995" s="15" t="n">
        <v>4</v>
      </c>
      <c r="E995" s="16" t="n">
        <f aca="false">F995/2</f>
        <v>50</v>
      </c>
      <c r="F995" s="16" t="n">
        <v>100</v>
      </c>
      <c r="G995" s="15" t="s">
        <v>36</v>
      </c>
      <c r="H995" s="17" t="s">
        <v>25</v>
      </c>
      <c r="I995" s="18" t="s">
        <v>26</v>
      </c>
      <c r="J995" s="15" t="n">
        <v>2025</v>
      </c>
      <c r="K995" s="19" t="s">
        <v>145</v>
      </c>
      <c r="L995" s="15" t="s">
        <v>28</v>
      </c>
      <c r="M995" s="15" t="s">
        <v>33</v>
      </c>
      <c r="N995" s="17"/>
      <c r="O995" s="15"/>
      <c r="P995" s="15"/>
      <c r="Q995" s="21"/>
      <c r="R995" s="21"/>
      <c r="S995" s="21" t="s">
        <v>113</v>
      </c>
      <c r="T995" s="31" t="n">
        <v>45880</v>
      </c>
      <c r="U995" s="24"/>
    </row>
    <row r="996" s="25" customFormat="true" ht="41.4" hidden="false" customHeight="false" outlineLevel="0" collapsed="false">
      <c r="A996" s="36" t="s">
        <v>2300</v>
      </c>
      <c r="B996" s="26"/>
      <c r="C996" s="14" t="s">
        <v>144</v>
      </c>
      <c r="D996" s="15" t="n">
        <v>4</v>
      </c>
      <c r="E996" s="16" t="n">
        <f aca="false">F996/2</f>
        <v>50</v>
      </c>
      <c r="F996" s="16" t="n">
        <v>100</v>
      </c>
      <c r="G996" s="15" t="s">
        <v>36</v>
      </c>
      <c r="H996" s="17" t="s">
        <v>25</v>
      </c>
      <c r="I996" s="18" t="s">
        <v>26</v>
      </c>
      <c r="J996" s="15" t="n">
        <v>2025</v>
      </c>
      <c r="K996" s="19" t="s">
        <v>145</v>
      </c>
      <c r="L996" s="15" t="s">
        <v>28</v>
      </c>
      <c r="M996" s="15" t="s">
        <v>33</v>
      </c>
      <c r="N996" s="17"/>
      <c r="O996" s="15"/>
      <c r="P996" s="15"/>
      <c r="Q996" s="21"/>
      <c r="R996" s="21"/>
      <c r="S996" s="21" t="s">
        <v>113</v>
      </c>
      <c r="T996" s="31" t="n">
        <v>45880</v>
      </c>
      <c r="U996" s="24"/>
    </row>
    <row r="997" s="25" customFormat="true" ht="41.4" hidden="false" customHeight="false" outlineLevel="0" collapsed="false">
      <c r="A997" s="36" t="s">
        <v>2301</v>
      </c>
      <c r="B997" s="26"/>
      <c r="C997" s="14" t="s">
        <v>144</v>
      </c>
      <c r="D997" s="15" t="n">
        <v>4</v>
      </c>
      <c r="E997" s="16" t="n">
        <f aca="false">F997/2</f>
        <v>50</v>
      </c>
      <c r="F997" s="16" t="n">
        <v>100</v>
      </c>
      <c r="G997" s="15" t="s">
        <v>36</v>
      </c>
      <c r="H997" s="17" t="s">
        <v>25</v>
      </c>
      <c r="I997" s="18" t="s">
        <v>26</v>
      </c>
      <c r="J997" s="15" t="n">
        <v>2025</v>
      </c>
      <c r="K997" s="19" t="s">
        <v>145</v>
      </c>
      <c r="L997" s="15" t="s">
        <v>28</v>
      </c>
      <c r="M997" s="15" t="s">
        <v>33</v>
      </c>
      <c r="N997" s="17"/>
      <c r="O997" s="15"/>
      <c r="P997" s="15"/>
      <c r="Q997" s="21"/>
      <c r="R997" s="21"/>
      <c r="S997" s="21" t="s">
        <v>113</v>
      </c>
      <c r="T997" s="31" t="n">
        <v>45880</v>
      </c>
      <c r="U997" s="24"/>
    </row>
    <row r="998" s="25" customFormat="true" ht="41.4" hidden="false" customHeight="false" outlineLevel="0" collapsed="false">
      <c r="A998" s="36" t="s">
        <v>2302</v>
      </c>
      <c r="B998" s="26" t="s">
        <v>2303</v>
      </c>
      <c r="C998" s="14" t="s">
        <v>2304</v>
      </c>
      <c r="D998" s="15" t="n">
        <v>12</v>
      </c>
      <c r="E998" s="27" t="n">
        <v>3600</v>
      </c>
      <c r="F998" s="16" t="n">
        <v>7200</v>
      </c>
      <c r="G998" s="15" t="s">
        <v>354</v>
      </c>
      <c r="H998" s="17" t="s">
        <v>25</v>
      </c>
      <c r="I998" s="18" t="s">
        <v>26</v>
      </c>
      <c r="J998" s="15" t="n">
        <v>2010</v>
      </c>
      <c r="K998" s="19" t="s">
        <v>27</v>
      </c>
      <c r="L998" s="15" t="s">
        <v>28</v>
      </c>
      <c r="M998" s="15" t="s">
        <v>33</v>
      </c>
      <c r="N998" s="17" t="s">
        <v>40</v>
      </c>
      <c r="O998" s="15"/>
      <c r="P998" s="15"/>
      <c r="Q998" s="21" t="s">
        <v>41</v>
      </c>
      <c r="R998" s="21"/>
      <c r="S998" s="21"/>
      <c r="T998" s="28"/>
      <c r="U998" s="24"/>
    </row>
    <row r="999" s="25" customFormat="true" ht="45.6" hidden="false" customHeight="false" outlineLevel="0" collapsed="false">
      <c r="A999" s="36" t="s">
        <v>2305</v>
      </c>
      <c r="B999" s="26" t="s">
        <v>2306</v>
      </c>
      <c r="C999" s="14" t="s">
        <v>515</v>
      </c>
      <c r="D999" s="15" t="n">
        <v>12</v>
      </c>
      <c r="E999" s="27" t="n">
        <f aca="false">F999/2</f>
        <v>51000</v>
      </c>
      <c r="F999" s="16" t="n">
        <f aca="false">120000*0.85</f>
        <v>102000</v>
      </c>
      <c r="G999" s="15" t="s">
        <v>24</v>
      </c>
      <c r="H999" s="17" t="s">
        <v>25</v>
      </c>
      <c r="I999" s="18" t="s">
        <v>26</v>
      </c>
      <c r="J999" s="15" t="n">
        <v>2013</v>
      </c>
      <c r="K999" s="19" t="s">
        <v>27</v>
      </c>
      <c r="L999" s="15" t="s">
        <v>28</v>
      </c>
      <c r="M999" s="15" t="s">
        <v>33</v>
      </c>
      <c r="N999" s="17"/>
      <c r="O999" s="15" t="s">
        <v>54</v>
      </c>
      <c r="P999" s="15"/>
      <c r="Q999" s="21" t="s">
        <v>55</v>
      </c>
      <c r="R999" s="21"/>
      <c r="S999" s="21"/>
      <c r="T999" s="31" t="n">
        <v>45846</v>
      </c>
      <c r="U999" s="24" t="s">
        <v>2307</v>
      </c>
    </row>
    <row r="1000" s="25" customFormat="true" ht="41.4" hidden="false" customHeight="false" outlineLevel="0" collapsed="false">
      <c r="A1000" s="36" t="s">
        <v>2308</v>
      </c>
      <c r="B1000" s="26" t="s">
        <v>2309</v>
      </c>
      <c r="C1000" s="14"/>
      <c r="D1000" s="15" t="n">
        <v>12</v>
      </c>
      <c r="E1000" s="27" t="n">
        <v>6000</v>
      </c>
      <c r="F1000" s="16" t="n">
        <v>12000</v>
      </c>
      <c r="G1000" s="15" t="s">
        <v>354</v>
      </c>
      <c r="H1000" s="17" t="s">
        <v>25</v>
      </c>
      <c r="I1000" s="18" t="s">
        <v>26</v>
      </c>
      <c r="J1000" s="15" t="n">
        <v>2013</v>
      </c>
      <c r="K1000" s="19" t="s">
        <v>27</v>
      </c>
      <c r="L1000" s="15" t="s">
        <v>28</v>
      </c>
      <c r="M1000" s="15" t="s">
        <v>33</v>
      </c>
      <c r="N1000" s="17" t="s">
        <v>415</v>
      </c>
      <c r="O1000" s="15"/>
      <c r="P1000" s="15"/>
      <c r="Q1000" s="21" t="s">
        <v>55</v>
      </c>
      <c r="R1000" s="21"/>
      <c r="S1000" s="21"/>
      <c r="T1000" s="28"/>
      <c r="U1000" s="24" t="s">
        <v>2310</v>
      </c>
    </row>
    <row r="1001" s="25" customFormat="true" ht="41.4" hidden="false" customHeight="false" outlineLevel="0" collapsed="false">
      <c r="A1001" s="36" t="s">
        <v>2311</v>
      </c>
      <c r="B1001" s="26" t="s">
        <v>2312</v>
      </c>
      <c r="C1001" s="14"/>
      <c r="D1001" s="15" t="n">
        <v>4</v>
      </c>
      <c r="E1001" s="27" t="n">
        <v>1250</v>
      </c>
      <c r="F1001" s="16" t="n">
        <v>2500</v>
      </c>
      <c r="G1001" s="15" t="s">
        <v>354</v>
      </c>
      <c r="H1001" s="17" t="s">
        <v>25</v>
      </c>
      <c r="I1001" s="18" t="s">
        <v>26</v>
      </c>
      <c r="J1001" s="15" t="n">
        <v>2017</v>
      </c>
      <c r="K1001" s="19" t="s">
        <v>27</v>
      </c>
      <c r="L1001" s="15" t="s">
        <v>28</v>
      </c>
      <c r="M1001" s="15" t="s">
        <v>33</v>
      </c>
      <c r="N1001" s="17" t="s">
        <v>167</v>
      </c>
      <c r="O1001" s="15"/>
      <c r="P1001" s="15"/>
      <c r="Q1001" s="21" t="s">
        <v>78</v>
      </c>
      <c r="R1001" s="21"/>
      <c r="S1001" s="21"/>
      <c r="T1001" s="28"/>
      <c r="U1001" s="24"/>
    </row>
    <row r="1002" s="25" customFormat="true" ht="41.4" hidden="false" customHeight="false" outlineLevel="0" collapsed="false">
      <c r="A1002" s="36" t="s">
        <v>2313</v>
      </c>
      <c r="B1002" s="26" t="s">
        <v>2314</v>
      </c>
      <c r="C1002" s="14" t="s">
        <v>2315</v>
      </c>
      <c r="D1002" s="15" t="n">
        <v>12</v>
      </c>
      <c r="E1002" s="27" t="n">
        <f aca="false">F1002/2</f>
        <v>5148</v>
      </c>
      <c r="F1002" s="16" t="n">
        <f aca="false">8580*1.2</f>
        <v>10296</v>
      </c>
      <c r="G1002" s="15" t="s">
        <v>36</v>
      </c>
      <c r="H1002" s="17" t="s">
        <v>25</v>
      </c>
      <c r="I1002" s="18" t="s">
        <v>26</v>
      </c>
      <c r="J1002" s="15" t="n">
        <v>2019</v>
      </c>
      <c r="K1002" s="19" t="s">
        <v>27</v>
      </c>
      <c r="L1002" s="15" t="s">
        <v>28</v>
      </c>
      <c r="M1002" s="15" t="s">
        <v>33</v>
      </c>
      <c r="N1002" s="20" t="s">
        <v>45</v>
      </c>
      <c r="O1002" s="15"/>
      <c r="P1002" s="15"/>
      <c r="Q1002" s="21"/>
      <c r="R1002" s="21"/>
      <c r="S1002" s="21"/>
      <c r="T1002" s="31" t="n">
        <v>45855</v>
      </c>
      <c r="U1002" s="34"/>
    </row>
    <row r="1003" s="25" customFormat="true" ht="41.4" hidden="false" customHeight="false" outlineLevel="0" collapsed="false">
      <c r="A1003" s="36" t="s">
        <v>2316</v>
      </c>
      <c r="B1003" s="26"/>
      <c r="C1003" s="14" t="s">
        <v>122</v>
      </c>
      <c r="D1003" s="15" t="n">
        <v>12</v>
      </c>
      <c r="E1003" s="27" t="n">
        <v>23628</v>
      </c>
      <c r="F1003" s="16" t="n">
        <v>39204</v>
      </c>
      <c r="G1003" s="15" t="s">
        <v>36</v>
      </c>
      <c r="H1003" s="17" t="s">
        <v>25</v>
      </c>
      <c r="I1003" s="18" t="s">
        <v>26</v>
      </c>
      <c r="J1003" s="15" t="n">
        <v>2017</v>
      </c>
      <c r="K1003" s="19" t="s">
        <v>27</v>
      </c>
      <c r="L1003" s="15" t="s">
        <v>28</v>
      </c>
      <c r="M1003" s="15" t="s">
        <v>33</v>
      </c>
      <c r="N1003" s="17"/>
      <c r="O1003" s="15"/>
      <c r="P1003" s="15"/>
      <c r="Q1003" s="21"/>
      <c r="R1003" s="21"/>
      <c r="S1003" s="21"/>
      <c r="T1003" s="28"/>
      <c r="U1003" s="24"/>
    </row>
    <row r="1004" s="25" customFormat="true" ht="41.4" hidden="false" customHeight="false" outlineLevel="0" collapsed="false">
      <c r="A1004" s="36" t="s">
        <v>2317</v>
      </c>
      <c r="B1004" s="26" t="s">
        <v>2318</v>
      </c>
      <c r="C1004" s="14" t="s">
        <v>401</v>
      </c>
      <c r="D1004" s="15" t="n">
        <v>6</v>
      </c>
      <c r="E1004" s="27" t="n">
        <f aca="false">F1004/2</f>
        <v>4500</v>
      </c>
      <c r="F1004" s="16" t="n">
        <v>9000</v>
      </c>
      <c r="G1004" s="15" t="s">
        <v>36</v>
      </c>
      <c r="H1004" s="17" t="s">
        <v>25</v>
      </c>
      <c r="I1004" s="18" t="s">
        <v>26</v>
      </c>
      <c r="J1004" s="15" t="n">
        <v>2018</v>
      </c>
      <c r="K1004" s="19" t="s">
        <v>27</v>
      </c>
      <c r="L1004" s="15" t="s">
        <v>28</v>
      </c>
      <c r="M1004" s="15" t="s">
        <v>33</v>
      </c>
      <c r="N1004" s="17" t="s">
        <v>45</v>
      </c>
      <c r="O1004" s="15"/>
      <c r="P1004" s="15"/>
      <c r="Q1004" s="21" t="s">
        <v>78</v>
      </c>
      <c r="R1004" s="21"/>
      <c r="S1004" s="21"/>
      <c r="T1004" s="28"/>
      <c r="U1004" s="24"/>
    </row>
    <row r="1005" s="25" customFormat="true" ht="41.4" hidden="false" customHeight="false" outlineLevel="0" collapsed="false">
      <c r="A1005" s="36" t="s">
        <v>2319</v>
      </c>
      <c r="B1005" s="26" t="s">
        <v>2320</v>
      </c>
      <c r="C1005" s="14" t="s">
        <v>2321</v>
      </c>
      <c r="D1005" s="15" t="n">
        <v>12</v>
      </c>
      <c r="E1005" s="27" t="n">
        <f aca="false">F1005/2</f>
        <v>2000</v>
      </c>
      <c r="F1005" s="16" t="n">
        <v>4000</v>
      </c>
      <c r="G1005" s="15" t="s">
        <v>354</v>
      </c>
      <c r="H1005" s="17" t="s">
        <v>25</v>
      </c>
      <c r="I1005" s="18" t="s">
        <v>26</v>
      </c>
      <c r="J1005" s="15" t="n">
        <v>2000</v>
      </c>
      <c r="K1005" s="19" t="s">
        <v>27</v>
      </c>
      <c r="L1005" s="15" t="s">
        <v>28</v>
      </c>
      <c r="M1005" s="15" t="s">
        <v>33</v>
      </c>
      <c r="N1005" s="17" t="s">
        <v>1227</v>
      </c>
      <c r="O1005" s="15"/>
      <c r="P1005" s="15"/>
      <c r="Q1005" s="21" t="s">
        <v>47</v>
      </c>
      <c r="R1005" s="21"/>
      <c r="S1005" s="21"/>
      <c r="T1005" s="28"/>
      <c r="U1005" s="24" t="s">
        <v>2322</v>
      </c>
    </row>
    <row r="1006" s="25" customFormat="true" ht="41.4" hidden="false" customHeight="false" outlineLevel="0" collapsed="false">
      <c r="A1006" s="36" t="s">
        <v>2323</v>
      </c>
      <c r="B1006" s="26" t="s">
        <v>2324</v>
      </c>
      <c r="C1006" s="14" t="s">
        <v>2325</v>
      </c>
      <c r="D1006" s="15" t="n">
        <v>12</v>
      </c>
      <c r="E1006" s="27" t="n">
        <f aca="false">F1006/2</f>
        <v>1500</v>
      </c>
      <c r="F1006" s="16" t="n">
        <v>3000</v>
      </c>
      <c r="G1006" s="15" t="s">
        <v>354</v>
      </c>
      <c r="H1006" s="17" t="s">
        <v>25</v>
      </c>
      <c r="I1006" s="18" t="s">
        <v>26</v>
      </c>
      <c r="J1006" s="15" t="n">
        <v>2000</v>
      </c>
      <c r="K1006" s="19" t="s">
        <v>65</v>
      </c>
      <c r="L1006" s="15" t="s">
        <v>28</v>
      </c>
      <c r="M1006" s="15" t="s">
        <v>33</v>
      </c>
      <c r="N1006" s="17" t="s">
        <v>1227</v>
      </c>
      <c r="O1006" s="15"/>
      <c r="P1006" s="15"/>
      <c r="Q1006" s="21" t="s">
        <v>47</v>
      </c>
      <c r="R1006" s="21"/>
      <c r="S1006" s="21"/>
      <c r="T1006" s="28"/>
      <c r="U1006" s="24" t="s">
        <v>2326</v>
      </c>
    </row>
    <row r="1007" s="25" customFormat="true" ht="41.4" hidden="false" customHeight="false" outlineLevel="0" collapsed="false">
      <c r="A1007" s="36" t="s">
        <v>2327</v>
      </c>
      <c r="B1007" s="26" t="s">
        <v>2328</v>
      </c>
      <c r="C1007" s="14" t="s">
        <v>2329</v>
      </c>
      <c r="D1007" s="15" t="n">
        <v>4</v>
      </c>
      <c r="E1007" s="27" t="n">
        <f aca="false">F1007/2</f>
        <v>50</v>
      </c>
      <c r="F1007" s="16" t="n">
        <v>100</v>
      </c>
      <c r="G1007" s="15" t="s">
        <v>36</v>
      </c>
      <c r="H1007" s="17" t="s">
        <v>25</v>
      </c>
      <c r="I1007" s="18" t="s">
        <v>26</v>
      </c>
      <c r="J1007" s="15" t="n">
        <v>2021</v>
      </c>
      <c r="K1007" s="19" t="s">
        <v>27</v>
      </c>
      <c r="L1007" s="15" t="s">
        <v>28</v>
      </c>
      <c r="M1007" s="15" t="s">
        <v>33</v>
      </c>
      <c r="N1007" s="20" t="s">
        <v>83</v>
      </c>
      <c r="O1007" s="15"/>
      <c r="P1007" s="15"/>
      <c r="Q1007" s="21"/>
      <c r="R1007" s="21"/>
      <c r="S1007" s="21"/>
      <c r="T1007" s="28"/>
      <c r="U1007" s="34"/>
      <c r="V1007" s="37"/>
      <c r="W1007" s="37"/>
    </row>
    <row r="1008" s="25" customFormat="true" ht="41.4" hidden="false" customHeight="false" outlineLevel="0" collapsed="false">
      <c r="A1008" s="36" t="s">
        <v>2330</v>
      </c>
      <c r="B1008" s="26" t="s">
        <v>2331</v>
      </c>
      <c r="C1008" s="14" t="s">
        <v>1324</v>
      </c>
      <c r="D1008" s="15" t="n">
        <v>4</v>
      </c>
      <c r="E1008" s="27" t="n">
        <f aca="false">F1008/2</f>
        <v>360</v>
      </c>
      <c r="F1008" s="16" t="n">
        <v>720</v>
      </c>
      <c r="G1008" s="15" t="s">
        <v>36</v>
      </c>
      <c r="H1008" s="17" t="s">
        <v>25</v>
      </c>
      <c r="I1008" s="18" t="s">
        <v>26</v>
      </c>
      <c r="J1008" s="15" t="n">
        <v>2014</v>
      </c>
      <c r="K1008" s="19" t="s">
        <v>1325</v>
      </c>
      <c r="L1008" s="15" t="s">
        <v>28</v>
      </c>
      <c r="M1008" s="15" t="s">
        <v>33</v>
      </c>
      <c r="N1008" s="17" t="s">
        <v>83</v>
      </c>
      <c r="O1008" s="15"/>
      <c r="P1008" s="15"/>
      <c r="Q1008" s="21" t="s">
        <v>302</v>
      </c>
      <c r="R1008" s="21"/>
      <c r="S1008" s="21"/>
      <c r="T1008" s="28"/>
      <c r="U1008" s="24"/>
    </row>
    <row r="1009" s="25" customFormat="true" ht="41.4" hidden="false" customHeight="false" outlineLevel="0" collapsed="false">
      <c r="A1009" s="36" t="s">
        <v>2332</v>
      </c>
      <c r="B1009" s="26"/>
      <c r="C1009" s="14" t="s">
        <v>81</v>
      </c>
      <c r="D1009" s="15" t="n">
        <v>4</v>
      </c>
      <c r="E1009" s="16" t="n">
        <f aca="false">F1009/2</f>
        <v>50</v>
      </c>
      <c r="F1009" s="16" t="n">
        <v>100</v>
      </c>
      <c r="G1009" s="15" t="s">
        <v>36</v>
      </c>
      <c r="H1009" s="17" t="s">
        <v>25</v>
      </c>
      <c r="I1009" s="18" t="s">
        <v>26</v>
      </c>
      <c r="J1009" s="15" t="n">
        <v>2024</v>
      </c>
      <c r="K1009" s="19" t="s">
        <v>27</v>
      </c>
      <c r="L1009" s="15" t="s">
        <v>304</v>
      </c>
      <c r="M1009" s="15" t="s">
        <v>33</v>
      </c>
      <c r="N1009" s="17" t="s">
        <v>83</v>
      </c>
      <c r="O1009" s="15"/>
      <c r="P1009" s="15"/>
      <c r="Q1009" s="21"/>
      <c r="R1009" s="21"/>
      <c r="S1009" s="21"/>
      <c r="T1009" s="28"/>
      <c r="U1009" s="24"/>
    </row>
    <row r="1010" s="25" customFormat="true" ht="57" hidden="false" customHeight="false" outlineLevel="0" collapsed="false">
      <c r="A1010" s="36" t="s">
        <v>2333</v>
      </c>
      <c r="B1010" s="26" t="s">
        <v>2334</v>
      </c>
      <c r="C1010" s="14" t="s">
        <v>2335</v>
      </c>
      <c r="D1010" s="15" t="n">
        <v>260</v>
      </c>
      <c r="E1010" s="27" t="n">
        <f aca="false">F1010/2</f>
        <v>5265</v>
      </c>
      <c r="F1010" s="16" t="n">
        <v>10530</v>
      </c>
      <c r="G1010" s="15" t="s">
        <v>24</v>
      </c>
      <c r="H1010" s="17" t="s">
        <v>25</v>
      </c>
      <c r="I1010" s="18" t="s">
        <v>26</v>
      </c>
      <c r="J1010" s="15" t="n">
        <v>1996</v>
      </c>
      <c r="K1010" s="19" t="s">
        <v>27</v>
      </c>
      <c r="L1010" s="15" t="s">
        <v>103</v>
      </c>
      <c r="M1010" s="15" t="s">
        <v>33</v>
      </c>
      <c r="N1010" s="17" t="s">
        <v>343</v>
      </c>
      <c r="O1010" s="15"/>
      <c r="P1010" s="15"/>
      <c r="Q1010" s="21" t="s">
        <v>344</v>
      </c>
      <c r="R1010" s="21"/>
      <c r="S1010" s="21"/>
      <c r="T1010" s="31" t="n">
        <v>45846</v>
      </c>
      <c r="U1010" s="24" t="s">
        <v>2336</v>
      </c>
    </row>
    <row r="1011" s="25" customFormat="true" ht="45.6" hidden="false" customHeight="false" outlineLevel="0" collapsed="false">
      <c r="A1011" s="36" t="s">
        <v>2337</v>
      </c>
      <c r="B1011" s="26" t="s">
        <v>2338</v>
      </c>
      <c r="C1011" s="14" t="s">
        <v>188</v>
      </c>
      <c r="D1011" s="15" t="n">
        <v>4</v>
      </c>
      <c r="E1011" s="27" t="n">
        <f aca="false">F1011/2</f>
        <v>4056</v>
      </c>
      <c r="F1011" s="16" t="n">
        <f aca="false">6760*1.2</f>
        <v>8112</v>
      </c>
      <c r="G1011" s="15" t="s">
        <v>36</v>
      </c>
      <c r="H1011" s="17" t="s">
        <v>25</v>
      </c>
      <c r="I1011" s="18" t="s">
        <v>26</v>
      </c>
      <c r="J1011" s="15" t="n">
        <v>2021</v>
      </c>
      <c r="K1011" s="19" t="s">
        <v>27</v>
      </c>
      <c r="L1011" s="15" t="s">
        <v>28</v>
      </c>
      <c r="M1011" s="15" t="s">
        <v>33</v>
      </c>
      <c r="N1011" s="20" t="s">
        <v>167</v>
      </c>
      <c r="O1011" s="15"/>
      <c r="P1011" s="15"/>
      <c r="Q1011" s="21"/>
      <c r="R1011" s="21"/>
      <c r="S1011" s="21"/>
      <c r="T1011" s="28"/>
      <c r="U1011" s="24" t="s">
        <v>2339</v>
      </c>
    </row>
    <row r="1012" s="25" customFormat="true" ht="41.4" hidden="false" customHeight="false" outlineLevel="0" collapsed="false">
      <c r="A1012" s="36" t="s">
        <v>2340</v>
      </c>
      <c r="B1012" s="26" t="s">
        <v>2341</v>
      </c>
      <c r="C1012" s="14" t="s">
        <v>335</v>
      </c>
      <c r="D1012" s="15" t="n">
        <v>6</v>
      </c>
      <c r="E1012" s="27" t="n">
        <f aca="false">F1012/2</f>
        <v>21600</v>
      </c>
      <c r="F1012" s="16" t="n">
        <f aca="false">6*7200</f>
        <v>43200</v>
      </c>
      <c r="G1012" s="15" t="s">
        <v>36</v>
      </c>
      <c r="H1012" s="17" t="s">
        <v>25</v>
      </c>
      <c r="I1012" s="18" t="s">
        <v>26</v>
      </c>
      <c r="J1012" s="15" t="n">
        <v>2020</v>
      </c>
      <c r="K1012" s="19" t="s">
        <v>27</v>
      </c>
      <c r="L1012" s="15" t="s">
        <v>28</v>
      </c>
      <c r="M1012" s="15" t="s">
        <v>33</v>
      </c>
      <c r="N1012" s="20" t="s">
        <v>96</v>
      </c>
      <c r="O1012" s="15" t="s">
        <v>46</v>
      </c>
      <c r="P1012" s="15"/>
      <c r="Q1012" s="21"/>
      <c r="R1012" s="21"/>
      <c r="S1012" s="21"/>
      <c r="T1012" s="28"/>
      <c r="U1012" s="34"/>
    </row>
    <row r="1013" s="25" customFormat="true" ht="41.4" hidden="false" customHeight="false" outlineLevel="0" collapsed="false">
      <c r="A1013" s="36" t="s">
        <v>2342</v>
      </c>
      <c r="B1013" s="26" t="s">
        <v>2343</v>
      </c>
      <c r="C1013" s="14" t="s">
        <v>246</v>
      </c>
      <c r="D1013" s="15" t="n">
        <v>4</v>
      </c>
      <c r="E1013" s="27" t="n">
        <f aca="false">F1013/2</f>
        <v>8144</v>
      </c>
      <c r="F1013" s="38" t="n">
        <v>16288</v>
      </c>
      <c r="G1013" s="15" t="s">
        <v>36</v>
      </c>
      <c r="H1013" s="17" t="s">
        <v>25</v>
      </c>
      <c r="I1013" s="18" t="s">
        <v>26</v>
      </c>
      <c r="J1013" s="15" t="n">
        <v>2017</v>
      </c>
      <c r="K1013" s="19" t="s">
        <v>27</v>
      </c>
      <c r="L1013" s="15" t="s">
        <v>28</v>
      </c>
      <c r="M1013" s="15" t="s">
        <v>33</v>
      </c>
      <c r="N1013" s="20" t="s">
        <v>87</v>
      </c>
      <c r="O1013" s="15"/>
      <c r="P1013" s="15"/>
      <c r="Q1013" s="21" t="s">
        <v>247</v>
      </c>
      <c r="R1013" s="21"/>
      <c r="S1013" s="21"/>
      <c r="T1013" s="31" t="n">
        <v>45882</v>
      </c>
      <c r="U1013" s="24" t="s">
        <v>248</v>
      </c>
    </row>
    <row r="1014" s="25" customFormat="true" ht="41.4" hidden="false" customHeight="false" outlineLevel="0" collapsed="false">
      <c r="A1014" s="36" t="s">
        <v>2344</v>
      </c>
      <c r="B1014" s="26"/>
      <c r="C1014" s="14" t="s">
        <v>81</v>
      </c>
      <c r="D1014" s="15" t="n">
        <v>4</v>
      </c>
      <c r="E1014" s="16" t="n">
        <f aca="false">F1014/2</f>
        <v>50</v>
      </c>
      <c r="F1014" s="16" t="n">
        <v>100</v>
      </c>
      <c r="G1014" s="15" t="s">
        <v>36</v>
      </c>
      <c r="H1014" s="17" t="s">
        <v>25</v>
      </c>
      <c r="I1014" s="18" t="s">
        <v>26</v>
      </c>
      <c r="J1014" s="15" t="n">
        <v>2024</v>
      </c>
      <c r="K1014" s="19" t="s">
        <v>27</v>
      </c>
      <c r="L1014" s="15" t="s">
        <v>82</v>
      </c>
      <c r="M1014" s="15" t="s">
        <v>33</v>
      </c>
      <c r="N1014" s="17" t="s">
        <v>83</v>
      </c>
      <c r="O1014" s="15"/>
      <c r="P1014" s="15"/>
      <c r="Q1014" s="21"/>
      <c r="R1014" s="21"/>
      <c r="S1014" s="21"/>
      <c r="T1014" s="28"/>
      <c r="U1014" s="24"/>
    </row>
    <row r="1015" s="25" customFormat="true" ht="41.4" hidden="false" customHeight="false" outlineLevel="0" collapsed="false">
      <c r="A1015" s="36" t="s">
        <v>2345</v>
      </c>
      <c r="B1015" s="26" t="s">
        <v>2346</v>
      </c>
      <c r="C1015" s="14" t="s">
        <v>335</v>
      </c>
      <c r="D1015" s="15" t="n">
        <v>4</v>
      </c>
      <c r="E1015" s="27" t="n">
        <f aca="false">F1015/2</f>
        <v>12000</v>
      </c>
      <c r="F1015" s="16" t="n">
        <f aca="false">4*6000</f>
        <v>24000</v>
      </c>
      <c r="G1015" s="15" t="s">
        <v>36</v>
      </c>
      <c r="H1015" s="17" t="s">
        <v>25</v>
      </c>
      <c r="I1015" s="18" t="s">
        <v>26</v>
      </c>
      <c r="J1015" s="15" t="n">
        <v>2020</v>
      </c>
      <c r="K1015" s="19" t="s">
        <v>27</v>
      </c>
      <c r="L1015" s="15" t="s">
        <v>28</v>
      </c>
      <c r="M1015" s="15" t="s">
        <v>33</v>
      </c>
      <c r="N1015" s="20"/>
      <c r="O1015" s="15" t="s">
        <v>46</v>
      </c>
      <c r="P1015" s="15"/>
      <c r="Q1015" s="21"/>
      <c r="R1015" s="21"/>
      <c r="S1015" s="21"/>
      <c r="T1015" s="28"/>
      <c r="U1015" s="34"/>
    </row>
    <row r="1016" s="25" customFormat="true" ht="41.4" hidden="false" customHeight="false" outlineLevel="0" collapsed="false">
      <c r="A1016" s="36" t="s">
        <v>2347</v>
      </c>
      <c r="B1016" s="26" t="s">
        <v>2348</v>
      </c>
      <c r="C1016" s="14" t="s">
        <v>307</v>
      </c>
      <c r="D1016" s="15" t="n">
        <v>4</v>
      </c>
      <c r="E1016" s="27" t="n">
        <f aca="false">F1016/2</f>
        <v>50</v>
      </c>
      <c r="F1016" s="16" t="n">
        <v>100</v>
      </c>
      <c r="G1016" s="15" t="s">
        <v>36</v>
      </c>
      <c r="H1016" s="17" t="s">
        <v>25</v>
      </c>
      <c r="I1016" s="18" t="s">
        <v>26</v>
      </c>
      <c r="J1016" s="15" t="n">
        <v>2019</v>
      </c>
      <c r="K1016" s="19" t="s">
        <v>27</v>
      </c>
      <c r="L1016" s="15" t="s">
        <v>28</v>
      </c>
      <c r="M1016" s="15" t="s">
        <v>33</v>
      </c>
      <c r="N1016" s="17" t="s">
        <v>83</v>
      </c>
      <c r="O1016" s="15"/>
      <c r="P1016" s="15"/>
      <c r="Q1016" s="21"/>
      <c r="R1016" s="21"/>
      <c r="S1016" s="21"/>
      <c r="T1016" s="28"/>
      <c r="U1016" s="34"/>
    </row>
    <row r="1017" s="25" customFormat="true" ht="41.4" hidden="false" customHeight="false" outlineLevel="0" collapsed="false">
      <c r="A1017" s="36" t="s">
        <v>2349</v>
      </c>
      <c r="B1017" s="26" t="s">
        <v>2350</v>
      </c>
      <c r="C1017" s="14" t="s">
        <v>246</v>
      </c>
      <c r="D1017" s="15" t="n">
        <v>12</v>
      </c>
      <c r="E1017" s="27" t="n">
        <f aca="false">F1017/2</f>
        <v>23965</v>
      </c>
      <c r="F1017" s="38" t="n">
        <v>47930</v>
      </c>
      <c r="G1017" s="15" t="s">
        <v>36</v>
      </c>
      <c r="H1017" s="17" t="s">
        <v>25</v>
      </c>
      <c r="I1017" s="18" t="s">
        <v>26</v>
      </c>
      <c r="J1017" s="15" t="n">
        <v>2017</v>
      </c>
      <c r="K1017" s="19" t="s">
        <v>27</v>
      </c>
      <c r="L1017" s="15" t="s">
        <v>28</v>
      </c>
      <c r="M1017" s="15" t="s">
        <v>33</v>
      </c>
      <c r="N1017" s="20" t="s">
        <v>87</v>
      </c>
      <c r="O1017" s="15"/>
      <c r="P1017" s="15"/>
      <c r="Q1017" s="21" t="s">
        <v>247</v>
      </c>
      <c r="R1017" s="21"/>
      <c r="S1017" s="21"/>
      <c r="T1017" s="31" t="n">
        <v>45882</v>
      </c>
      <c r="U1017" s="24" t="s">
        <v>248</v>
      </c>
    </row>
    <row r="1018" s="25" customFormat="true" ht="41.4" hidden="false" customHeight="false" outlineLevel="0" collapsed="false">
      <c r="A1018" s="36" t="s">
        <v>2351</v>
      </c>
      <c r="B1018" s="26" t="s">
        <v>2352</v>
      </c>
      <c r="C1018" s="14"/>
      <c r="D1018" s="15" t="n">
        <v>6</v>
      </c>
      <c r="E1018" s="27" t="n">
        <f aca="false">F1018/2</f>
        <v>1475</v>
      </c>
      <c r="F1018" s="16" t="n">
        <v>2950</v>
      </c>
      <c r="G1018" s="15" t="s">
        <v>354</v>
      </c>
      <c r="H1018" s="17" t="s">
        <v>25</v>
      </c>
      <c r="I1018" s="18" t="s">
        <v>26</v>
      </c>
      <c r="J1018" s="15" t="n">
        <v>2005</v>
      </c>
      <c r="K1018" s="19" t="s">
        <v>27</v>
      </c>
      <c r="L1018" s="15" t="s">
        <v>28</v>
      </c>
      <c r="M1018" s="15" t="s">
        <v>33</v>
      </c>
      <c r="N1018" s="17"/>
      <c r="O1018" s="15"/>
      <c r="P1018" s="15"/>
      <c r="Q1018" s="21" t="s">
        <v>47</v>
      </c>
      <c r="R1018" s="21"/>
      <c r="S1018" s="21"/>
      <c r="T1018" s="28"/>
      <c r="U1018" s="24" t="s">
        <v>2353</v>
      </c>
    </row>
    <row r="1019" s="25" customFormat="true" ht="41.4" hidden="false" customHeight="false" outlineLevel="0" collapsed="false">
      <c r="A1019" s="36" t="s">
        <v>2354</v>
      </c>
      <c r="B1019" s="26"/>
      <c r="C1019" s="14" t="s">
        <v>81</v>
      </c>
      <c r="D1019" s="15" t="n">
        <v>4</v>
      </c>
      <c r="E1019" s="16" t="n">
        <f aca="false">F1019/2</f>
        <v>50</v>
      </c>
      <c r="F1019" s="16" t="n">
        <v>100</v>
      </c>
      <c r="G1019" s="15" t="s">
        <v>36</v>
      </c>
      <c r="H1019" s="17" t="s">
        <v>25</v>
      </c>
      <c r="I1019" s="18" t="s">
        <v>26</v>
      </c>
      <c r="J1019" s="15" t="n">
        <v>2024</v>
      </c>
      <c r="K1019" s="19" t="s">
        <v>27</v>
      </c>
      <c r="L1019" s="15" t="s">
        <v>82</v>
      </c>
      <c r="M1019" s="15" t="s">
        <v>33</v>
      </c>
      <c r="N1019" s="17" t="s">
        <v>83</v>
      </c>
      <c r="O1019" s="15"/>
      <c r="P1019" s="15"/>
      <c r="Q1019" s="21"/>
      <c r="R1019" s="21"/>
      <c r="S1019" s="21"/>
      <c r="T1019" s="28"/>
      <c r="U1019" s="24"/>
    </row>
    <row r="1020" s="25" customFormat="true" ht="41.4" hidden="false" customHeight="false" outlineLevel="0" collapsed="false">
      <c r="A1020" s="36" t="s">
        <v>2355</v>
      </c>
      <c r="B1020" s="26" t="s">
        <v>2356</v>
      </c>
      <c r="C1020" s="14" t="s">
        <v>390</v>
      </c>
      <c r="D1020" s="15" t="n">
        <v>4</v>
      </c>
      <c r="E1020" s="27" t="n">
        <f aca="false">F1020/2</f>
        <v>1380</v>
      </c>
      <c r="F1020" s="16" t="n">
        <v>2760</v>
      </c>
      <c r="G1020" s="15" t="s">
        <v>24</v>
      </c>
      <c r="H1020" s="17" t="s">
        <v>25</v>
      </c>
      <c r="I1020" s="18" t="s">
        <v>26</v>
      </c>
      <c r="J1020" s="15" t="n">
        <v>2002</v>
      </c>
      <c r="K1020" s="19" t="s">
        <v>27</v>
      </c>
      <c r="L1020" s="15" t="s">
        <v>28</v>
      </c>
      <c r="M1020" s="15" t="s">
        <v>33</v>
      </c>
      <c r="N1020" s="17" t="s">
        <v>83</v>
      </c>
      <c r="O1020" s="15"/>
      <c r="P1020" s="15"/>
      <c r="Q1020" s="21" t="s">
        <v>302</v>
      </c>
      <c r="R1020" s="21"/>
      <c r="S1020" s="21"/>
      <c r="T1020" s="28"/>
      <c r="U1020" s="24"/>
    </row>
    <row r="1021" s="25" customFormat="true" ht="41.4" hidden="false" customHeight="false" outlineLevel="0" collapsed="false">
      <c r="A1021" s="36" t="s">
        <v>2357</v>
      </c>
      <c r="B1021" s="26" t="s">
        <v>2358</v>
      </c>
      <c r="C1021" s="14" t="s">
        <v>2359</v>
      </c>
      <c r="D1021" s="15" t="n">
        <v>4</v>
      </c>
      <c r="E1021" s="27" t="n">
        <f aca="false">F1021/2</f>
        <v>2700</v>
      </c>
      <c r="F1021" s="16" t="n">
        <v>5400</v>
      </c>
      <c r="G1021" s="15" t="s">
        <v>36</v>
      </c>
      <c r="H1021" s="17" t="s">
        <v>25</v>
      </c>
      <c r="I1021" s="18" t="s">
        <v>26</v>
      </c>
      <c r="J1021" s="15" t="n">
        <v>2020</v>
      </c>
      <c r="K1021" s="19" t="s">
        <v>27</v>
      </c>
      <c r="L1021" s="15" t="s">
        <v>28</v>
      </c>
      <c r="M1021" s="15" t="s">
        <v>33</v>
      </c>
      <c r="N1021" s="20" t="s">
        <v>83</v>
      </c>
      <c r="O1021" s="15"/>
      <c r="P1021" s="15"/>
      <c r="Q1021" s="21"/>
      <c r="R1021" s="21"/>
      <c r="S1021" s="21"/>
      <c r="T1021" s="28"/>
      <c r="U1021" s="34"/>
    </row>
    <row r="1022" s="25" customFormat="true" ht="41.4" hidden="false" customHeight="false" outlineLevel="0" collapsed="false">
      <c r="A1022" s="36" t="s">
        <v>2360</v>
      </c>
      <c r="B1022" s="26" t="s">
        <v>2361</v>
      </c>
      <c r="C1022" s="14" t="s">
        <v>239</v>
      </c>
      <c r="D1022" s="15" t="n">
        <v>12</v>
      </c>
      <c r="E1022" s="27" t="n">
        <f aca="false">F1022/2</f>
        <v>14940</v>
      </c>
      <c r="F1022" s="16" t="n">
        <f aca="false">12*2490</f>
        <v>29880</v>
      </c>
      <c r="G1022" s="15" t="s">
        <v>36</v>
      </c>
      <c r="H1022" s="17" t="s">
        <v>25</v>
      </c>
      <c r="I1022" s="18" t="s">
        <v>26</v>
      </c>
      <c r="J1022" s="15" t="n">
        <v>2018</v>
      </c>
      <c r="K1022" s="19" t="s">
        <v>27</v>
      </c>
      <c r="L1022" s="15" t="s">
        <v>28</v>
      </c>
      <c r="M1022" s="15" t="s">
        <v>33</v>
      </c>
      <c r="N1022" s="17" t="s">
        <v>511</v>
      </c>
      <c r="O1022" s="15"/>
      <c r="P1022" s="15"/>
      <c r="Q1022" s="21" t="s">
        <v>2362</v>
      </c>
      <c r="R1022" s="21"/>
      <c r="S1022" s="21"/>
      <c r="T1022" s="31" t="n">
        <v>45880</v>
      </c>
      <c r="U1022" s="24"/>
    </row>
    <row r="1023" s="25" customFormat="true" ht="41.4" hidden="false" customHeight="false" outlineLevel="0" collapsed="false">
      <c r="A1023" s="36" t="s">
        <v>2363</v>
      </c>
      <c r="B1023" s="26" t="s">
        <v>2364</v>
      </c>
      <c r="C1023" s="14" t="s">
        <v>246</v>
      </c>
      <c r="D1023" s="15" t="n">
        <v>6</v>
      </c>
      <c r="E1023" s="27" t="n">
        <f aca="false">F1023/2</f>
        <v>11978.5</v>
      </c>
      <c r="F1023" s="38" t="n">
        <v>23957</v>
      </c>
      <c r="G1023" s="15" t="s">
        <v>36</v>
      </c>
      <c r="H1023" s="17" t="s">
        <v>25</v>
      </c>
      <c r="I1023" s="18" t="s">
        <v>26</v>
      </c>
      <c r="J1023" s="15" t="n">
        <v>2017</v>
      </c>
      <c r="K1023" s="19" t="s">
        <v>27</v>
      </c>
      <c r="L1023" s="15" t="s">
        <v>28</v>
      </c>
      <c r="M1023" s="15" t="s">
        <v>33</v>
      </c>
      <c r="N1023" s="20"/>
      <c r="O1023" s="15"/>
      <c r="P1023" s="15"/>
      <c r="Q1023" s="21" t="s">
        <v>247</v>
      </c>
      <c r="R1023" s="21"/>
      <c r="S1023" s="21"/>
      <c r="T1023" s="31" t="n">
        <v>45882</v>
      </c>
      <c r="U1023" s="24" t="s">
        <v>248</v>
      </c>
    </row>
    <row r="1024" s="25" customFormat="true" ht="41.4" hidden="false" customHeight="false" outlineLevel="0" collapsed="false">
      <c r="A1024" s="36" t="s">
        <v>2365</v>
      </c>
      <c r="B1024" s="26"/>
      <c r="C1024" s="14" t="s">
        <v>2366</v>
      </c>
      <c r="D1024" s="15" t="n">
        <v>12</v>
      </c>
      <c r="E1024" s="16" t="n">
        <f aca="false">F1024/2</f>
        <v>94348.5</v>
      </c>
      <c r="F1024" s="16" t="n">
        <f aca="false">FLOOR(157248*1.2,1)</f>
        <v>188697</v>
      </c>
      <c r="G1024" s="15" t="s">
        <v>36</v>
      </c>
      <c r="H1024" s="17" t="s">
        <v>25</v>
      </c>
      <c r="I1024" s="18" t="s">
        <v>26</v>
      </c>
      <c r="J1024" s="15" t="n">
        <v>2024</v>
      </c>
      <c r="K1024" s="19" t="s">
        <v>27</v>
      </c>
      <c r="L1024" s="15" t="s">
        <v>28</v>
      </c>
      <c r="M1024" s="15" t="s">
        <v>33</v>
      </c>
      <c r="N1024" s="17" t="s">
        <v>511</v>
      </c>
      <c r="O1024" s="15"/>
      <c r="P1024" s="15"/>
      <c r="Q1024" s="21"/>
      <c r="R1024" s="21"/>
      <c r="S1024" s="21"/>
      <c r="T1024" s="31" t="n">
        <v>45893</v>
      </c>
      <c r="U1024" s="24"/>
    </row>
    <row r="1025" s="25" customFormat="true" ht="45.6" hidden="false" customHeight="false" outlineLevel="0" collapsed="false">
      <c r="A1025" s="36" t="s">
        <v>2367</v>
      </c>
      <c r="B1025" s="26" t="s">
        <v>2368</v>
      </c>
      <c r="C1025" s="14" t="s">
        <v>246</v>
      </c>
      <c r="D1025" s="15" t="n">
        <v>6</v>
      </c>
      <c r="E1025" s="27" t="n">
        <f aca="false">F1025/2</f>
        <v>3012.5</v>
      </c>
      <c r="F1025" s="38" t="n">
        <v>6025</v>
      </c>
      <c r="G1025" s="15" t="s">
        <v>24</v>
      </c>
      <c r="H1025" s="17" t="s">
        <v>25</v>
      </c>
      <c r="I1025" s="18" t="s">
        <v>26</v>
      </c>
      <c r="J1025" s="15" t="n">
        <v>2000</v>
      </c>
      <c r="K1025" s="19" t="s">
        <v>27</v>
      </c>
      <c r="L1025" s="15" t="s">
        <v>28</v>
      </c>
      <c r="M1025" s="15" t="s">
        <v>33</v>
      </c>
      <c r="N1025" s="17" t="s">
        <v>175</v>
      </c>
      <c r="O1025" s="15"/>
      <c r="P1025" s="15"/>
      <c r="Q1025" s="21" t="s">
        <v>280</v>
      </c>
      <c r="R1025" s="21"/>
      <c r="S1025" s="21"/>
      <c r="T1025" s="31" t="n">
        <v>45882</v>
      </c>
      <c r="U1025" s="24" t="s">
        <v>2369</v>
      </c>
    </row>
    <row r="1026" s="25" customFormat="true" ht="41.4" hidden="false" customHeight="false" outlineLevel="0" collapsed="false">
      <c r="A1026" s="36" t="s">
        <v>2370</v>
      </c>
      <c r="B1026" s="26" t="s">
        <v>2371</v>
      </c>
      <c r="C1026" s="14" t="s">
        <v>64</v>
      </c>
      <c r="D1026" s="15" t="n">
        <v>4</v>
      </c>
      <c r="E1026" s="27" t="n">
        <f aca="false">F1026/2</f>
        <v>1080</v>
      </c>
      <c r="F1026" s="16" t="n">
        <v>2160</v>
      </c>
      <c r="G1026" s="15" t="s">
        <v>36</v>
      </c>
      <c r="H1026" s="17" t="s">
        <v>25</v>
      </c>
      <c r="I1026" s="18" t="s">
        <v>26</v>
      </c>
      <c r="J1026" s="15" t="n">
        <v>2020</v>
      </c>
      <c r="K1026" s="19" t="s">
        <v>65</v>
      </c>
      <c r="L1026" s="15" t="s">
        <v>28</v>
      </c>
      <c r="M1026" s="15" t="s">
        <v>33</v>
      </c>
      <c r="N1026" s="17" t="s">
        <v>175</v>
      </c>
      <c r="O1026" s="15"/>
      <c r="P1026" s="15"/>
      <c r="Q1026" s="21"/>
      <c r="R1026" s="21"/>
      <c r="S1026" s="21"/>
      <c r="T1026" s="28"/>
      <c r="U1026" s="34"/>
    </row>
    <row r="1027" s="25" customFormat="true" ht="41.4" hidden="false" customHeight="false" outlineLevel="0" collapsed="false">
      <c r="A1027" s="36" t="s">
        <v>2372</v>
      </c>
      <c r="B1027" s="26"/>
      <c r="C1027" s="14" t="s">
        <v>293</v>
      </c>
      <c r="D1027" s="15" t="n">
        <v>4</v>
      </c>
      <c r="E1027" s="16" t="n">
        <f aca="false">F1027/2</f>
        <v>3120</v>
      </c>
      <c r="F1027" s="16" t="n">
        <f aca="false">5200*1.2</f>
        <v>6240</v>
      </c>
      <c r="G1027" s="15" t="s">
        <v>36</v>
      </c>
      <c r="H1027" s="17" t="s">
        <v>25</v>
      </c>
      <c r="I1027" s="18" t="s">
        <v>26</v>
      </c>
      <c r="J1027" s="15" t="n">
        <v>2025</v>
      </c>
      <c r="K1027" s="19" t="s">
        <v>27</v>
      </c>
      <c r="L1027" s="15" t="s">
        <v>28</v>
      </c>
      <c r="M1027" s="15" t="s">
        <v>33</v>
      </c>
      <c r="N1027" s="17"/>
      <c r="O1027" s="15"/>
      <c r="P1027" s="15"/>
      <c r="Q1027" s="21"/>
      <c r="R1027" s="21"/>
      <c r="S1027" s="21"/>
      <c r="T1027" s="31" t="n">
        <v>45909</v>
      </c>
      <c r="U1027" s="24"/>
    </row>
    <row r="1028" s="25" customFormat="true" ht="45.6" hidden="false" customHeight="false" outlineLevel="0" collapsed="false">
      <c r="A1028" s="36" t="s">
        <v>2373</v>
      </c>
      <c r="B1028" s="26" t="s">
        <v>2374</v>
      </c>
      <c r="C1028" s="14"/>
      <c r="D1028" s="15" t="n">
        <v>6</v>
      </c>
      <c r="E1028" s="27" t="n">
        <f aca="false">F1028/2</f>
        <v>1600</v>
      </c>
      <c r="F1028" s="16" t="n">
        <v>3200</v>
      </c>
      <c r="G1028" s="15" t="s">
        <v>354</v>
      </c>
      <c r="H1028" s="17" t="s">
        <v>25</v>
      </c>
      <c r="I1028" s="18" t="s">
        <v>26</v>
      </c>
      <c r="J1028" s="15" t="n">
        <v>2000</v>
      </c>
      <c r="K1028" s="19" t="s">
        <v>27</v>
      </c>
      <c r="L1028" s="15" t="s">
        <v>28</v>
      </c>
      <c r="M1028" s="15" t="s">
        <v>33</v>
      </c>
      <c r="N1028" s="17" t="s">
        <v>160</v>
      </c>
      <c r="O1028" s="15" t="s">
        <v>46</v>
      </c>
      <c r="P1028" s="15"/>
      <c r="Q1028" s="21" t="s">
        <v>47</v>
      </c>
      <c r="R1028" s="21"/>
      <c r="S1028" s="21"/>
      <c r="T1028" s="28"/>
      <c r="U1028" s="24" t="s">
        <v>2375</v>
      </c>
    </row>
    <row r="1029" s="25" customFormat="true" ht="41.4" hidden="false" customHeight="false" outlineLevel="0" collapsed="false">
      <c r="A1029" s="36" t="s">
        <v>2376</v>
      </c>
      <c r="B1029" s="26" t="s">
        <v>2377</v>
      </c>
      <c r="C1029" s="14"/>
      <c r="D1029" s="15" t="n">
        <v>12</v>
      </c>
      <c r="E1029" s="27" t="n">
        <v>2325</v>
      </c>
      <c r="F1029" s="16" t="n">
        <f aca="false">E1029*2</f>
        <v>4650</v>
      </c>
      <c r="G1029" s="15" t="s">
        <v>354</v>
      </c>
      <c r="H1029" s="17" t="s">
        <v>25</v>
      </c>
      <c r="I1029" s="18" t="s">
        <v>26</v>
      </c>
      <c r="J1029" s="15" t="n">
        <v>2005</v>
      </c>
      <c r="K1029" s="19" t="s">
        <v>27</v>
      </c>
      <c r="L1029" s="15" t="s">
        <v>28</v>
      </c>
      <c r="M1029" s="15" t="s">
        <v>33</v>
      </c>
      <c r="N1029" s="17" t="s">
        <v>40</v>
      </c>
      <c r="O1029" s="15"/>
      <c r="P1029" s="15"/>
      <c r="Q1029" s="21" t="s">
        <v>41</v>
      </c>
      <c r="R1029" s="21"/>
      <c r="S1029" s="21"/>
      <c r="T1029" s="28"/>
      <c r="U1029" s="24" t="s">
        <v>2378</v>
      </c>
    </row>
    <row r="1030" s="25" customFormat="true" ht="45.6" hidden="false" customHeight="false" outlineLevel="0" collapsed="false">
      <c r="A1030" s="36" t="s">
        <v>2379</v>
      </c>
      <c r="B1030" s="26" t="s">
        <v>2380</v>
      </c>
      <c r="C1030" s="14" t="s">
        <v>2381</v>
      </c>
      <c r="D1030" s="15" t="n">
        <v>12</v>
      </c>
      <c r="E1030" s="27" t="n">
        <f aca="false">F1030/2</f>
        <v>1806</v>
      </c>
      <c r="F1030" s="16" t="n">
        <v>3612</v>
      </c>
      <c r="G1030" s="15" t="s">
        <v>354</v>
      </c>
      <c r="H1030" s="17" t="s">
        <v>25</v>
      </c>
      <c r="I1030" s="18" t="s">
        <v>26</v>
      </c>
      <c r="J1030" s="15" t="n">
        <v>2000</v>
      </c>
      <c r="K1030" s="19" t="s">
        <v>27</v>
      </c>
      <c r="L1030" s="15" t="s">
        <v>28</v>
      </c>
      <c r="M1030" s="15" t="s">
        <v>33</v>
      </c>
      <c r="N1030" s="17" t="s">
        <v>1227</v>
      </c>
      <c r="O1030" s="15"/>
      <c r="P1030" s="15"/>
      <c r="Q1030" s="21" t="s">
        <v>47</v>
      </c>
      <c r="R1030" s="21"/>
      <c r="S1030" s="21"/>
      <c r="T1030" s="31" t="n">
        <v>45904</v>
      </c>
      <c r="U1030" s="24" t="s">
        <v>2382</v>
      </c>
    </row>
    <row r="1031" s="25" customFormat="true" ht="41.4" hidden="false" customHeight="false" outlineLevel="0" collapsed="false">
      <c r="A1031" s="36" t="s">
        <v>2383</v>
      </c>
      <c r="B1031" s="26" t="s">
        <v>2384</v>
      </c>
      <c r="C1031" s="14" t="s">
        <v>2082</v>
      </c>
      <c r="D1031" s="15" t="n">
        <v>4</v>
      </c>
      <c r="E1031" s="27" t="n">
        <f aca="false">F1031/2</f>
        <v>1050</v>
      </c>
      <c r="F1031" s="16" t="n">
        <v>2100</v>
      </c>
      <c r="G1031" s="15" t="s">
        <v>36</v>
      </c>
      <c r="H1031" s="17" t="s">
        <v>25</v>
      </c>
      <c r="I1031" s="18" t="s">
        <v>26</v>
      </c>
      <c r="J1031" s="15"/>
      <c r="K1031" s="19" t="s">
        <v>65</v>
      </c>
      <c r="L1031" s="15" t="s">
        <v>28</v>
      </c>
      <c r="M1031" s="15" t="s">
        <v>33</v>
      </c>
      <c r="N1031" s="17" t="s">
        <v>270</v>
      </c>
      <c r="O1031" s="15"/>
      <c r="P1031" s="15"/>
      <c r="Q1031" s="21" t="s">
        <v>78</v>
      </c>
      <c r="R1031" s="21"/>
      <c r="S1031" s="21"/>
      <c r="T1031" s="28"/>
      <c r="U1031" s="24"/>
    </row>
    <row r="1032" s="25" customFormat="true" ht="41.4" hidden="false" customHeight="false" outlineLevel="0" collapsed="false">
      <c r="A1032" s="80" t="s">
        <v>2385</v>
      </c>
      <c r="B1032" s="26" t="s">
        <v>2386</v>
      </c>
      <c r="C1032" s="72" t="s">
        <v>264</v>
      </c>
      <c r="D1032" s="30" t="n">
        <v>12</v>
      </c>
      <c r="E1032" s="16" t="n">
        <f aca="false">F1032/2</f>
        <v>56614.68</v>
      </c>
      <c r="F1032" s="16" t="n">
        <f aca="false">121752*0.93</f>
        <v>113229.36</v>
      </c>
      <c r="G1032" s="15" t="s">
        <v>36</v>
      </c>
      <c r="H1032" s="17" t="s">
        <v>25</v>
      </c>
      <c r="I1032" s="18" t="s">
        <v>26</v>
      </c>
      <c r="J1032" s="15" t="n">
        <v>2024</v>
      </c>
      <c r="K1032" s="19" t="s">
        <v>27</v>
      </c>
      <c r="L1032" s="15" t="s">
        <v>28</v>
      </c>
      <c r="M1032" s="15" t="s">
        <v>33</v>
      </c>
      <c r="N1032" s="17" t="s">
        <v>123</v>
      </c>
      <c r="O1032" s="60"/>
      <c r="P1032" s="60"/>
      <c r="Q1032" s="21"/>
      <c r="R1032" s="21"/>
      <c r="S1032" s="40"/>
      <c r="T1032" s="31" t="n">
        <v>45880</v>
      </c>
      <c r="U1032" s="41"/>
    </row>
    <row r="1033" s="25" customFormat="true" ht="41.4" hidden="false" customHeight="false" outlineLevel="0" collapsed="false">
      <c r="A1033" s="80" t="s">
        <v>2387</v>
      </c>
      <c r="B1033" s="26" t="s">
        <v>2388</v>
      </c>
      <c r="C1033" s="72" t="s">
        <v>264</v>
      </c>
      <c r="D1033" s="30" t="n">
        <v>12</v>
      </c>
      <c r="E1033" s="16" t="n">
        <f aca="false">F1033/2</f>
        <v>56614.68</v>
      </c>
      <c r="F1033" s="16" t="n">
        <f aca="false">121752*0.93</f>
        <v>113229.36</v>
      </c>
      <c r="G1033" s="15" t="s">
        <v>36</v>
      </c>
      <c r="H1033" s="17" t="s">
        <v>25</v>
      </c>
      <c r="I1033" s="18" t="s">
        <v>26</v>
      </c>
      <c r="J1033" s="15" t="n">
        <v>2024</v>
      </c>
      <c r="K1033" s="19" t="s">
        <v>27</v>
      </c>
      <c r="L1033" s="15" t="s">
        <v>28</v>
      </c>
      <c r="M1033" s="15" t="s">
        <v>33</v>
      </c>
      <c r="N1033" s="17" t="s">
        <v>123</v>
      </c>
      <c r="O1033" s="60"/>
      <c r="P1033" s="60"/>
      <c r="Q1033" s="21"/>
      <c r="R1033" s="21"/>
      <c r="S1033" s="40"/>
      <c r="T1033" s="31" t="n">
        <v>45880</v>
      </c>
      <c r="U1033" s="41"/>
    </row>
    <row r="1034" s="25" customFormat="true" ht="41.4" hidden="false" customHeight="false" outlineLevel="0" collapsed="false">
      <c r="A1034" s="12" t="s">
        <v>2389</v>
      </c>
      <c r="B1034" s="26" t="s">
        <v>2390</v>
      </c>
      <c r="C1034" s="14" t="s">
        <v>2391</v>
      </c>
      <c r="D1034" s="15" t="n">
        <v>6</v>
      </c>
      <c r="E1034" s="27" t="n">
        <f aca="false">F1034/2</f>
        <v>900</v>
      </c>
      <c r="F1034" s="16" t="n">
        <v>1800</v>
      </c>
      <c r="G1034" s="15" t="s">
        <v>36</v>
      </c>
      <c r="H1034" s="17" t="s">
        <v>25</v>
      </c>
      <c r="I1034" s="18" t="s">
        <v>26</v>
      </c>
      <c r="J1034" s="15" t="n">
        <v>2020</v>
      </c>
      <c r="K1034" s="19" t="s">
        <v>27</v>
      </c>
      <c r="L1034" s="15" t="s">
        <v>28</v>
      </c>
      <c r="M1034" s="15" t="s">
        <v>33</v>
      </c>
      <c r="N1034" s="17" t="s">
        <v>431</v>
      </c>
      <c r="O1034" s="15"/>
      <c r="P1034" s="15"/>
      <c r="Q1034" s="21"/>
      <c r="R1034" s="21"/>
      <c r="S1034" s="21"/>
      <c r="T1034" s="28"/>
      <c r="U1034" s="34"/>
    </row>
    <row r="1035" s="25" customFormat="true" ht="41.4" hidden="false" customHeight="false" outlineLevel="0" collapsed="false">
      <c r="A1035" s="12" t="s">
        <v>2392</v>
      </c>
      <c r="B1035" s="26" t="s">
        <v>2393</v>
      </c>
      <c r="C1035" s="14" t="s">
        <v>90</v>
      </c>
      <c r="D1035" s="15" t="n">
        <v>6</v>
      </c>
      <c r="E1035" s="27" t="n">
        <f aca="false">F1035/2</f>
        <v>10710</v>
      </c>
      <c r="F1035" s="16" t="n">
        <f aca="false">10200*2*1.05</f>
        <v>21420</v>
      </c>
      <c r="G1035" s="15" t="s">
        <v>36</v>
      </c>
      <c r="H1035" s="17" t="s">
        <v>25</v>
      </c>
      <c r="I1035" s="18" t="s">
        <v>26</v>
      </c>
      <c r="J1035" s="15" t="n">
        <v>2018</v>
      </c>
      <c r="K1035" s="19" t="s">
        <v>27</v>
      </c>
      <c r="L1035" s="15" t="s">
        <v>28</v>
      </c>
      <c r="M1035" s="15" t="s">
        <v>33</v>
      </c>
      <c r="N1035" s="17" t="s">
        <v>91</v>
      </c>
      <c r="O1035" s="15"/>
      <c r="P1035" s="15"/>
      <c r="Q1035" s="21" t="s">
        <v>78</v>
      </c>
      <c r="R1035" s="21"/>
      <c r="S1035" s="21"/>
      <c r="T1035" s="28"/>
      <c r="U1035" s="24"/>
    </row>
    <row r="1036" s="25" customFormat="true" ht="41.4" hidden="false" customHeight="false" outlineLevel="0" collapsed="false">
      <c r="A1036" s="12" t="s">
        <v>2394</v>
      </c>
      <c r="B1036" s="26" t="s">
        <v>2395</v>
      </c>
      <c r="C1036" s="14" t="s">
        <v>39</v>
      </c>
      <c r="D1036" s="15" t="n">
        <v>6</v>
      </c>
      <c r="E1036" s="27" t="n">
        <f aca="false">F1036/2</f>
        <v>2200</v>
      </c>
      <c r="F1036" s="16" t="n">
        <v>4400</v>
      </c>
      <c r="G1036" s="15" t="s">
        <v>354</v>
      </c>
      <c r="H1036" s="17" t="s">
        <v>25</v>
      </c>
      <c r="I1036" s="18" t="s">
        <v>26</v>
      </c>
      <c r="J1036" s="15" t="n">
        <v>2018</v>
      </c>
      <c r="K1036" s="19" t="s">
        <v>27</v>
      </c>
      <c r="L1036" s="15" t="s">
        <v>28</v>
      </c>
      <c r="M1036" s="15" t="s">
        <v>33</v>
      </c>
      <c r="N1036" s="17" t="s">
        <v>40</v>
      </c>
      <c r="O1036" s="15"/>
      <c r="P1036" s="15"/>
      <c r="Q1036" s="21" t="s">
        <v>41</v>
      </c>
      <c r="R1036" s="21"/>
      <c r="S1036" s="21"/>
      <c r="T1036" s="28"/>
      <c r="U1036" s="24"/>
    </row>
    <row r="1037" s="25" customFormat="true" ht="41.4" hidden="false" customHeight="false" outlineLevel="0" collapsed="false">
      <c r="A1037" s="12" t="s">
        <v>2396</v>
      </c>
      <c r="B1037" s="26" t="s">
        <v>2397</v>
      </c>
      <c r="C1037" s="14" t="s">
        <v>2398</v>
      </c>
      <c r="D1037" s="15" t="n">
        <v>4</v>
      </c>
      <c r="E1037" s="27" t="n">
        <f aca="false">F1037/2</f>
        <v>2000</v>
      </c>
      <c r="F1037" s="16" t="n">
        <v>4000</v>
      </c>
      <c r="G1037" s="15" t="s">
        <v>36</v>
      </c>
      <c r="H1037" s="17" t="s">
        <v>25</v>
      </c>
      <c r="I1037" s="18" t="s">
        <v>26</v>
      </c>
      <c r="J1037" s="15" t="n">
        <v>2019</v>
      </c>
      <c r="K1037" s="19" t="s">
        <v>27</v>
      </c>
      <c r="L1037" s="15" t="s">
        <v>28</v>
      </c>
      <c r="M1037" s="15" t="s">
        <v>33</v>
      </c>
      <c r="N1037" s="17" t="s">
        <v>40</v>
      </c>
      <c r="O1037" s="15"/>
      <c r="P1037" s="15"/>
      <c r="Q1037" s="21" t="s">
        <v>78</v>
      </c>
      <c r="R1037" s="21"/>
      <c r="S1037" s="21"/>
      <c r="T1037" s="28"/>
      <c r="U1037" s="24"/>
    </row>
    <row r="1038" s="25" customFormat="true" ht="41.4" hidden="false" customHeight="false" outlineLevel="0" collapsed="false">
      <c r="A1038" s="12" t="s">
        <v>2399</v>
      </c>
      <c r="B1038" s="26" t="s">
        <v>2400</v>
      </c>
      <c r="C1038" s="14" t="s">
        <v>239</v>
      </c>
      <c r="D1038" s="15" t="n">
        <v>6</v>
      </c>
      <c r="E1038" s="27" t="n">
        <f aca="false">F1038/2</f>
        <v>14940</v>
      </c>
      <c r="F1038" s="16" t="n">
        <f aca="false">6*4980</f>
        <v>29880</v>
      </c>
      <c r="G1038" s="15" t="s">
        <v>36</v>
      </c>
      <c r="H1038" s="17" t="s">
        <v>25</v>
      </c>
      <c r="I1038" s="18" t="s">
        <v>26</v>
      </c>
      <c r="J1038" s="15" t="n">
        <v>2019</v>
      </c>
      <c r="K1038" s="19" t="s">
        <v>27</v>
      </c>
      <c r="L1038" s="15" t="s">
        <v>28</v>
      </c>
      <c r="M1038" s="15" t="s">
        <v>33</v>
      </c>
      <c r="N1038" s="17" t="s">
        <v>511</v>
      </c>
      <c r="O1038" s="15"/>
      <c r="P1038" s="15"/>
      <c r="Q1038" s="21"/>
      <c r="R1038" s="21"/>
      <c r="S1038" s="21"/>
      <c r="T1038" s="31" t="n">
        <v>45880</v>
      </c>
      <c r="U1038" s="24"/>
    </row>
    <row r="1039" s="25" customFormat="true" ht="41.4" hidden="false" customHeight="false" outlineLevel="0" collapsed="false">
      <c r="A1039" s="12" t="s">
        <v>2401</v>
      </c>
      <c r="B1039" s="26"/>
      <c r="C1039" s="14" t="s">
        <v>1724</v>
      </c>
      <c r="D1039" s="15" t="n">
        <v>6</v>
      </c>
      <c r="E1039" s="16" t="n">
        <f aca="false">F1039/2</f>
        <v>1183.5</v>
      </c>
      <c r="F1039" s="16" t="n">
        <f aca="false">CEILING(1972*1.2,1)</f>
        <v>2367</v>
      </c>
      <c r="G1039" s="15" t="s">
        <v>36</v>
      </c>
      <c r="H1039" s="17" t="s">
        <v>25</v>
      </c>
      <c r="I1039" s="18" t="s">
        <v>26</v>
      </c>
      <c r="J1039" s="15" t="n">
        <v>2024</v>
      </c>
      <c r="K1039" s="19" t="s">
        <v>1725</v>
      </c>
      <c r="L1039" s="15" t="s">
        <v>28</v>
      </c>
      <c r="M1039" s="15" t="s">
        <v>33</v>
      </c>
      <c r="N1039" s="17"/>
      <c r="O1039" s="15"/>
      <c r="P1039" s="15"/>
      <c r="Q1039" s="21"/>
      <c r="R1039" s="21"/>
      <c r="S1039" s="21"/>
      <c r="T1039" s="28"/>
      <c r="U1039" s="24"/>
    </row>
    <row r="1040" s="25" customFormat="true" ht="41.4" hidden="false" customHeight="false" outlineLevel="0" collapsed="false">
      <c r="A1040" s="12" t="s">
        <v>2402</v>
      </c>
      <c r="B1040" s="26" t="s">
        <v>2403</v>
      </c>
      <c r="C1040" s="14" t="s">
        <v>404</v>
      </c>
      <c r="D1040" s="15" t="n">
        <v>4</v>
      </c>
      <c r="E1040" s="27" t="n">
        <f aca="false">F1040/2</f>
        <v>3600</v>
      </c>
      <c r="F1040" s="16" t="n">
        <v>7200</v>
      </c>
      <c r="G1040" s="15" t="s">
        <v>36</v>
      </c>
      <c r="H1040" s="17" t="s">
        <v>25</v>
      </c>
      <c r="I1040" s="18" t="s">
        <v>26</v>
      </c>
      <c r="J1040" s="15" t="n">
        <v>2018</v>
      </c>
      <c r="K1040" s="19" t="s">
        <v>27</v>
      </c>
      <c r="L1040" s="15" t="s">
        <v>28</v>
      </c>
      <c r="M1040" s="15" t="s">
        <v>33</v>
      </c>
      <c r="N1040" s="17" t="s">
        <v>45</v>
      </c>
      <c r="O1040" s="15"/>
      <c r="P1040" s="15"/>
      <c r="Q1040" s="21"/>
      <c r="R1040" s="21" t="s">
        <v>30</v>
      </c>
      <c r="S1040" s="21"/>
      <c r="T1040" s="31" t="n">
        <v>45848</v>
      </c>
      <c r="U1040" s="24"/>
    </row>
    <row r="1041" s="25" customFormat="true" ht="41.4" hidden="false" customHeight="false" outlineLevel="0" collapsed="false">
      <c r="A1041" s="12" t="s">
        <v>2404</v>
      </c>
      <c r="B1041" s="26" t="s">
        <v>2405</v>
      </c>
      <c r="C1041" s="14" t="s">
        <v>1051</v>
      </c>
      <c r="D1041" s="15" t="n">
        <v>4</v>
      </c>
      <c r="E1041" s="27" t="n">
        <f aca="false">F1041/2</f>
        <v>3000</v>
      </c>
      <c r="F1041" s="16" t="n">
        <f aca="false">5000*1.2</f>
        <v>6000</v>
      </c>
      <c r="G1041" s="15" t="s">
        <v>24</v>
      </c>
      <c r="H1041" s="17" t="s">
        <v>25</v>
      </c>
      <c r="I1041" s="18" t="s">
        <v>26</v>
      </c>
      <c r="J1041" s="15" t="n">
        <v>2017</v>
      </c>
      <c r="K1041" s="19" t="s">
        <v>27</v>
      </c>
      <c r="L1041" s="15" t="s">
        <v>28</v>
      </c>
      <c r="M1041" s="15" t="s">
        <v>33</v>
      </c>
      <c r="N1041" s="17" t="s">
        <v>45</v>
      </c>
      <c r="O1041" s="15"/>
      <c r="P1041" s="15"/>
      <c r="Q1041" s="21" t="s">
        <v>862</v>
      </c>
      <c r="R1041" s="21"/>
      <c r="S1041" s="21"/>
      <c r="T1041" s="31" t="n">
        <v>45856</v>
      </c>
      <c r="U1041" s="24"/>
    </row>
    <row r="1042" s="25" customFormat="true" ht="41.4" hidden="false" customHeight="false" outlineLevel="0" collapsed="false">
      <c r="A1042" s="12" t="s">
        <v>2406</v>
      </c>
      <c r="B1042" s="26"/>
      <c r="C1042" s="14" t="s">
        <v>2407</v>
      </c>
      <c r="D1042" s="15" t="n">
        <v>4</v>
      </c>
      <c r="E1042" s="27" t="n">
        <f aca="false">F1042/2</f>
        <v>468</v>
      </c>
      <c r="F1042" s="16" t="n">
        <f aca="false">936</f>
        <v>936</v>
      </c>
      <c r="G1042" s="15" t="s">
        <v>36</v>
      </c>
      <c r="H1042" s="17" t="s">
        <v>25</v>
      </c>
      <c r="I1042" s="18" t="s">
        <v>26</v>
      </c>
      <c r="J1042" s="15" t="n">
        <v>2023</v>
      </c>
      <c r="K1042" s="19" t="s">
        <v>27</v>
      </c>
      <c r="L1042" s="15" t="s">
        <v>28</v>
      </c>
      <c r="M1042" s="15" t="s">
        <v>33</v>
      </c>
      <c r="N1042" s="17" t="s">
        <v>45</v>
      </c>
      <c r="O1042" s="15"/>
      <c r="P1042" s="15"/>
      <c r="Q1042" s="21"/>
      <c r="R1042" s="21"/>
      <c r="S1042" s="21"/>
      <c r="T1042" s="28"/>
      <c r="U1042" s="24"/>
    </row>
    <row r="1043" s="25" customFormat="true" ht="91.2" hidden="false" customHeight="false" outlineLevel="0" collapsed="false">
      <c r="A1043" s="12" t="s">
        <v>2408</v>
      </c>
      <c r="B1043" s="26" t="s">
        <v>2409</v>
      </c>
      <c r="C1043" s="14"/>
      <c r="D1043" s="15" t="n">
        <v>6</v>
      </c>
      <c r="E1043" s="27" t="n">
        <f aca="false">F1043/2</f>
        <v>860</v>
      </c>
      <c r="F1043" s="16" t="n">
        <f aca="false">860*2</f>
        <v>1720</v>
      </c>
      <c r="G1043" s="15" t="s">
        <v>24</v>
      </c>
      <c r="H1043" s="17" t="s">
        <v>25</v>
      </c>
      <c r="I1043" s="18" t="s">
        <v>26</v>
      </c>
      <c r="J1043" s="15" t="n">
        <v>2011</v>
      </c>
      <c r="K1043" s="19" t="s">
        <v>27</v>
      </c>
      <c r="L1043" s="15" t="s">
        <v>28</v>
      </c>
      <c r="M1043" s="15" t="s">
        <v>33</v>
      </c>
      <c r="N1043" s="17"/>
      <c r="O1043" s="15"/>
      <c r="P1043" s="15"/>
      <c r="Q1043" s="21" t="s">
        <v>455</v>
      </c>
      <c r="R1043" s="21"/>
      <c r="S1043" s="21"/>
      <c r="T1043" s="28"/>
      <c r="U1043" s="24" t="s">
        <v>456</v>
      </c>
    </row>
    <row r="1044" s="25" customFormat="true" ht="41.4" hidden="false" customHeight="false" outlineLevel="0" collapsed="false">
      <c r="A1044" s="81" t="s">
        <v>2410</v>
      </c>
      <c r="B1044" s="26" t="s">
        <v>2411</v>
      </c>
      <c r="C1044" s="14" t="s">
        <v>264</v>
      </c>
      <c r="D1044" s="30" t="n">
        <v>12</v>
      </c>
      <c r="E1044" s="16" t="n">
        <f aca="false">F1044/2</f>
        <v>54706.32</v>
      </c>
      <c r="F1044" s="16" t="n">
        <f aca="false">117648*0.93</f>
        <v>109412.64</v>
      </c>
      <c r="G1044" s="15" t="s">
        <v>36</v>
      </c>
      <c r="H1044" s="17" t="s">
        <v>25</v>
      </c>
      <c r="I1044" s="18" t="s">
        <v>26</v>
      </c>
      <c r="J1044" s="15" t="n">
        <v>2024</v>
      </c>
      <c r="K1044" s="19" t="s">
        <v>27</v>
      </c>
      <c r="L1044" s="15" t="s">
        <v>28</v>
      </c>
      <c r="M1044" s="15" t="s">
        <v>33</v>
      </c>
      <c r="N1044" s="30"/>
      <c r="O1044" s="60"/>
      <c r="P1044" s="60"/>
      <c r="Q1044" s="21"/>
      <c r="R1044" s="21"/>
      <c r="S1044" s="40"/>
      <c r="T1044" s="31" t="n">
        <v>45880</v>
      </c>
      <c r="U1044" s="41"/>
    </row>
    <row r="1045" s="25" customFormat="true" ht="41.4" hidden="false" customHeight="false" outlineLevel="0" collapsed="false">
      <c r="A1045" s="12" t="s">
        <v>2412</v>
      </c>
      <c r="B1045" s="26" t="s">
        <v>2413</v>
      </c>
      <c r="C1045" s="14" t="s">
        <v>246</v>
      </c>
      <c r="D1045" s="15" t="n">
        <v>6</v>
      </c>
      <c r="E1045" s="27" t="n">
        <f aca="false">F1045/2</f>
        <v>4672</v>
      </c>
      <c r="F1045" s="38" t="n">
        <v>9344</v>
      </c>
      <c r="G1045" s="15" t="s">
        <v>24</v>
      </c>
      <c r="H1045" s="17" t="s">
        <v>25</v>
      </c>
      <c r="I1045" s="18" t="s">
        <v>26</v>
      </c>
      <c r="J1045" s="15" t="n">
        <v>2000</v>
      </c>
      <c r="K1045" s="19" t="s">
        <v>27</v>
      </c>
      <c r="L1045" s="15" t="s">
        <v>28</v>
      </c>
      <c r="M1045" s="15" t="s">
        <v>33</v>
      </c>
      <c r="N1045" s="17"/>
      <c r="O1045" s="15"/>
      <c r="P1045" s="15" t="s">
        <v>2414</v>
      </c>
      <c r="Q1045" s="21" t="s">
        <v>280</v>
      </c>
      <c r="R1045" s="21"/>
      <c r="S1045" s="21"/>
      <c r="T1045" s="31" t="n">
        <v>45882</v>
      </c>
      <c r="U1045" s="24" t="s">
        <v>2415</v>
      </c>
    </row>
    <row r="1046" s="25" customFormat="true" ht="45.6" hidden="false" customHeight="false" outlineLevel="0" collapsed="false">
      <c r="A1046" s="12" t="s">
        <v>2416</v>
      </c>
      <c r="B1046" s="26" t="s">
        <v>2417</v>
      </c>
      <c r="C1046" s="14" t="s">
        <v>246</v>
      </c>
      <c r="D1046" s="15" t="n">
        <v>12</v>
      </c>
      <c r="E1046" s="27" t="n">
        <f aca="false">F1046/2</f>
        <v>6739</v>
      </c>
      <c r="F1046" s="38" t="n">
        <v>13478</v>
      </c>
      <c r="G1046" s="15" t="s">
        <v>24</v>
      </c>
      <c r="H1046" s="17" t="s">
        <v>25</v>
      </c>
      <c r="I1046" s="18" t="s">
        <v>26</v>
      </c>
      <c r="J1046" s="15" t="n">
        <v>2000</v>
      </c>
      <c r="K1046" s="19" t="s">
        <v>27</v>
      </c>
      <c r="L1046" s="15" t="s">
        <v>28</v>
      </c>
      <c r="M1046" s="15" t="s">
        <v>33</v>
      </c>
      <c r="N1046" s="17" t="s">
        <v>53</v>
      </c>
      <c r="O1046" s="15"/>
      <c r="P1046" s="15"/>
      <c r="Q1046" s="21" t="s">
        <v>280</v>
      </c>
      <c r="R1046" s="21"/>
      <c r="S1046" s="21"/>
      <c r="T1046" s="31" t="n">
        <v>45882</v>
      </c>
      <c r="U1046" s="24" t="s">
        <v>2418</v>
      </c>
    </row>
    <row r="1047" s="25" customFormat="true" ht="41.4" hidden="false" customHeight="false" outlineLevel="0" collapsed="false">
      <c r="A1047" s="81" t="s">
        <v>2419</v>
      </c>
      <c r="B1047" s="26" t="s">
        <v>2420</v>
      </c>
      <c r="C1047" s="14" t="s">
        <v>264</v>
      </c>
      <c r="D1047" s="15" t="n">
        <v>6</v>
      </c>
      <c r="E1047" s="27" t="n">
        <f aca="false">F1047/2</f>
        <v>27353.16</v>
      </c>
      <c r="F1047" s="16" t="n">
        <f aca="false">58824*0.93</f>
        <v>54706.32</v>
      </c>
      <c r="G1047" s="15" t="s">
        <v>36</v>
      </c>
      <c r="H1047" s="17" t="s">
        <v>25</v>
      </c>
      <c r="I1047" s="18" t="s">
        <v>26</v>
      </c>
      <c r="J1047" s="15" t="n">
        <v>2024</v>
      </c>
      <c r="K1047" s="19" t="s">
        <v>27</v>
      </c>
      <c r="L1047" s="15" t="s">
        <v>28</v>
      </c>
      <c r="M1047" s="15" t="s">
        <v>33</v>
      </c>
      <c r="N1047" s="17" t="s">
        <v>270</v>
      </c>
      <c r="O1047" s="15"/>
      <c r="P1047" s="15"/>
      <c r="Q1047" s="21"/>
      <c r="R1047" s="21"/>
      <c r="S1047" s="21"/>
      <c r="T1047" s="31" t="n">
        <v>45880</v>
      </c>
      <c r="U1047" s="24"/>
    </row>
    <row r="1048" s="25" customFormat="true" ht="41.4" hidden="false" customHeight="false" outlineLevel="0" collapsed="false">
      <c r="A1048" s="12" t="s">
        <v>2421</v>
      </c>
      <c r="B1048" s="26"/>
      <c r="C1048" s="14" t="s">
        <v>426</v>
      </c>
      <c r="D1048" s="15" t="n">
        <v>4</v>
      </c>
      <c r="E1048" s="27" t="n">
        <f aca="false">F1048/2</f>
        <v>50</v>
      </c>
      <c r="F1048" s="16" t="n">
        <v>100</v>
      </c>
      <c r="G1048" s="15" t="s">
        <v>36</v>
      </c>
      <c r="H1048" s="17" t="s">
        <v>25</v>
      </c>
      <c r="I1048" s="18" t="s">
        <v>26</v>
      </c>
      <c r="J1048" s="15" t="n">
        <v>2025</v>
      </c>
      <c r="K1048" s="19" t="s">
        <v>427</v>
      </c>
      <c r="L1048" s="15" t="s">
        <v>28</v>
      </c>
      <c r="M1048" s="15" t="s">
        <v>33</v>
      </c>
      <c r="N1048" s="17"/>
      <c r="O1048" s="15"/>
      <c r="P1048" s="15"/>
      <c r="Q1048" s="21" t="s">
        <v>78</v>
      </c>
      <c r="R1048" s="21"/>
      <c r="S1048" s="21"/>
      <c r="T1048" s="28"/>
      <c r="U1048" s="24"/>
    </row>
    <row r="1049" s="25" customFormat="true" ht="41.4" hidden="false" customHeight="false" outlineLevel="0" collapsed="false">
      <c r="A1049" s="12" t="s">
        <v>2422</v>
      </c>
      <c r="B1049" s="26"/>
      <c r="C1049" s="14" t="s">
        <v>448</v>
      </c>
      <c r="D1049" s="15" t="n">
        <v>4</v>
      </c>
      <c r="E1049" s="16" t="n">
        <f aca="false">F1049/2</f>
        <v>1560</v>
      </c>
      <c r="F1049" s="16" t="n">
        <f aca="false">2600*1.2</f>
        <v>3120</v>
      </c>
      <c r="G1049" s="15" t="s">
        <v>36</v>
      </c>
      <c r="H1049" s="17" t="s">
        <v>25</v>
      </c>
      <c r="I1049" s="18" t="s">
        <v>26</v>
      </c>
      <c r="J1049" s="15" t="n">
        <v>2025</v>
      </c>
      <c r="K1049" s="19" t="s">
        <v>27</v>
      </c>
      <c r="L1049" s="15" t="s">
        <v>28</v>
      </c>
      <c r="M1049" s="15" t="s">
        <v>33</v>
      </c>
      <c r="N1049" s="17" t="s">
        <v>45</v>
      </c>
      <c r="O1049" s="15"/>
      <c r="P1049" s="15"/>
      <c r="Q1049" s="21"/>
      <c r="R1049" s="21"/>
      <c r="S1049" s="21"/>
      <c r="T1049" s="28"/>
      <c r="U1049" s="24"/>
    </row>
    <row r="1050" s="25" customFormat="true" ht="68.4" hidden="false" customHeight="false" outlineLevel="0" collapsed="false">
      <c r="A1050" s="12" t="s">
        <v>2423</v>
      </c>
      <c r="B1050" s="26" t="s">
        <v>2424</v>
      </c>
      <c r="C1050" s="14"/>
      <c r="D1050" s="15" t="s">
        <v>1309</v>
      </c>
      <c r="E1050" s="27" t="n">
        <f aca="false">F1050/2</f>
        <v>750</v>
      </c>
      <c r="F1050" s="52" t="n">
        <v>1500</v>
      </c>
      <c r="G1050" s="15" t="s">
        <v>354</v>
      </c>
      <c r="H1050" s="17" t="s">
        <v>25</v>
      </c>
      <c r="I1050" s="18" t="s">
        <v>26</v>
      </c>
      <c r="J1050" s="15" t="n">
        <v>2002</v>
      </c>
      <c r="K1050" s="19" t="s">
        <v>27</v>
      </c>
      <c r="L1050" s="15" t="s">
        <v>28</v>
      </c>
      <c r="M1050" s="15" t="s">
        <v>33</v>
      </c>
      <c r="N1050" s="20" t="s">
        <v>175</v>
      </c>
      <c r="O1050" s="15"/>
      <c r="P1050" s="15"/>
      <c r="Q1050" s="21" t="s">
        <v>280</v>
      </c>
      <c r="R1050" s="21"/>
      <c r="S1050" s="21"/>
      <c r="T1050" s="28"/>
      <c r="U1050" s="24" t="s">
        <v>2425</v>
      </c>
    </row>
    <row r="1051" s="25" customFormat="true" ht="41.4" hidden="false" customHeight="false" outlineLevel="0" collapsed="false">
      <c r="A1051" s="12" t="s">
        <v>2426</v>
      </c>
      <c r="B1051" s="26" t="s">
        <v>2427</v>
      </c>
      <c r="C1051" s="14" t="s">
        <v>2428</v>
      </c>
      <c r="D1051" s="15" t="n">
        <v>4</v>
      </c>
      <c r="E1051" s="27" t="n">
        <f aca="false">F1051/2</f>
        <v>1000</v>
      </c>
      <c r="F1051" s="16" t="n">
        <v>2000</v>
      </c>
      <c r="G1051" s="15" t="s">
        <v>24</v>
      </c>
      <c r="H1051" s="17" t="s">
        <v>25</v>
      </c>
      <c r="I1051" s="18" t="s">
        <v>26</v>
      </c>
      <c r="J1051" s="15" t="n">
        <v>2012</v>
      </c>
      <c r="K1051" s="19" t="s">
        <v>27</v>
      </c>
      <c r="L1051" s="15" t="s">
        <v>28</v>
      </c>
      <c r="M1051" s="15" t="s">
        <v>33</v>
      </c>
      <c r="N1051" s="17" t="s">
        <v>83</v>
      </c>
      <c r="O1051" s="15"/>
      <c r="P1051" s="15"/>
      <c r="Q1051" s="21" t="s">
        <v>302</v>
      </c>
      <c r="R1051" s="21"/>
      <c r="S1051" s="21"/>
      <c r="T1051" s="28"/>
      <c r="U1051" s="24"/>
    </row>
    <row r="1052" s="25" customFormat="true" ht="41.4" hidden="false" customHeight="false" outlineLevel="0" collapsed="false">
      <c r="A1052" s="12" t="s">
        <v>2429</v>
      </c>
      <c r="B1052" s="26" t="s">
        <v>2430</v>
      </c>
      <c r="C1052" s="14" t="s">
        <v>246</v>
      </c>
      <c r="D1052" s="15" t="n">
        <v>6</v>
      </c>
      <c r="E1052" s="27" t="n">
        <f aca="false">F1052/2</f>
        <v>11774</v>
      </c>
      <c r="F1052" s="38" t="n">
        <v>23548</v>
      </c>
      <c r="G1052" s="15" t="s">
        <v>36</v>
      </c>
      <c r="H1052" s="17" t="s">
        <v>25</v>
      </c>
      <c r="I1052" s="18" t="s">
        <v>26</v>
      </c>
      <c r="J1052" s="15" t="n">
        <v>2017</v>
      </c>
      <c r="K1052" s="19" t="s">
        <v>27</v>
      </c>
      <c r="L1052" s="15" t="s">
        <v>28</v>
      </c>
      <c r="M1052" s="15" t="s">
        <v>33</v>
      </c>
      <c r="N1052" s="17"/>
      <c r="O1052" s="15"/>
      <c r="P1052" s="15"/>
      <c r="Q1052" s="21" t="s">
        <v>247</v>
      </c>
      <c r="R1052" s="21"/>
      <c r="S1052" s="21"/>
      <c r="T1052" s="31" t="n">
        <v>45882</v>
      </c>
      <c r="U1052" s="24" t="s">
        <v>248</v>
      </c>
    </row>
    <row r="1053" s="25" customFormat="true" ht="41.4" hidden="false" customHeight="false" outlineLevel="0" collapsed="false">
      <c r="A1053" s="12" t="s">
        <v>2431</v>
      </c>
      <c r="B1053" s="26"/>
      <c r="C1053" s="14" t="s">
        <v>81</v>
      </c>
      <c r="D1053" s="15" t="n">
        <v>4</v>
      </c>
      <c r="E1053" s="16" t="n">
        <f aca="false">F1053/2</f>
        <v>50</v>
      </c>
      <c r="F1053" s="16" t="n">
        <v>100</v>
      </c>
      <c r="G1053" s="15" t="s">
        <v>36</v>
      </c>
      <c r="H1053" s="17" t="s">
        <v>25</v>
      </c>
      <c r="I1053" s="18" t="s">
        <v>26</v>
      </c>
      <c r="J1053" s="15" t="n">
        <v>2024</v>
      </c>
      <c r="K1053" s="19" t="s">
        <v>27</v>
      </c>
      <c r="L1053" s="15" t="s">
        <v>82</v>
      </c>
      <c r="M1053" s="15" t="s">
        <v>33</v>
      </c>
      <c r="N1053" s="17" t="s">
        <v>83</v>
      </c>
      <c r="O1053" s="15"/>
      <c r="P1053" s="15"/>
      <c r="Q1053" s="21"/>
      <c r="R1053" s="21"/>
      <c r="S1053" s="21"/>
      <c r="T1053" s="28"/>
      <c r="U1053" s="24"/>
    </row>
    <row r="1054" s="25" customFormat="true" ht="41.4" hidden="false" customHeight="false" outlineLevel="0" collapsed="false">
      <c r="A1054" s="12" t="s">
        <v>2432</v>
      </c>
      <c r="B1054" s="26"/>
      <c r="C1054" s="14" t="s">
        <v>81</v>
      </c>
      <c r="D1054" s="15" t="n">
        <v>6</v>
      </c>
      <c r="E1054" s="16" t="n">
        <f aca="false">F1054/2</f>
        <v>50</v>
      </c>
      <c r="F1054" s="16" t="n">
        <v>100</v>
      </c>
      <c r="G1054" s="15" t="s">
        <v>36</v>
      </c>
      <c r="H1054" s="17" t="s">
        <v>25</v>
      </c>
      <c r="I1054" s="18" t="s">
        <v>26</v>
      </c>
      <c r="J1054" s="15" t="n">
        <v>2024</v>
      </c>
      <c r="K1054" s="19" t="s">
        <v>27</v>
      </c>
      <c r="L1054" s="15" t="s">
        <v>304</v>
      </c>
      <c r="M1054" s="15" t="s">
        <v>33</v>
      </c>
      <c r="N1054" s="17" t="s">
        <v>83</v>
      </c>
      <c r="O1054" s="15"/>
      <c r="P1054" s="15"/>
      <c r="Q1054" s="21"/>
      <c r="R1054" s="21"/>
      <c r="S1054" s="21"/>
      <c r="T1054" s="28"/>
      <c r="U1054" s="24"/>
    </row>
    <row r="1055" s="25" customFormat="true" ht="41.4" hidden="false" customHeight="false" outlineLevel="0" collapsed="false">
      <c r="A1055" s="12" t="s">
        <v>2433</v>
      </c>
      <c r="B1055" s="26" t="s">
        <v>2434</v>
      </c>
      <c r="C1055" s="14" t="s">
        <v>148</v>
      </c>
      <c r="D1055" s="15" t="n">
        <v>6</v>
      </c>
      <c r="E1055" s="27" t="n">
        <f aca="false">F1055/2</f>
        <v>2487</v>
      </c>
      <c r="F1055" s="35" t="n">
        <f aca="false">FLOOR(4145*1.2,1)</f>
        <v>4974</v>
      </c>
      <c r="G1055" s="15" t="s">
        <v>36</v>
      </c>
      <c r="H1055" s="17" t="s">
        <v>25</v>
      </c>
      <c r="I1055" s="18" t="s">
        <v>26</v>
      </c>
      <c r="J1055" s="15" t="n">
        <v>2020</v>
      </c>
      <c r="K1055" s="19" t="s">
        <v>27</v>
      </c>
      <c r="L1055" s="15" t="s">
        <v>28</v>
      </c>
      <c r="M1055" s="15" t="s">
        <v>33</v>
      </c>
      <c r="N1055" s="17" t="s">
        <v>83</v>
      </c>
      <c r="O1055" s="15"/>
      <c r="P1055" s="15"/>
      <c r="Q1055" s="21"/>
      <c r="R1055" s="21"/>
      <c r="S1055" s="21"/>
      <c r="T1055" s="31" t="n">
        <v>45882</v>
      </c>
      <c r="U1055" s="34"/>
    </row>
    <row r="1056" s="25" customFormat="true" ht="41.4" hidden="false" customHeight="false" outlineLevel="0" collapsed="false">
      <c r="A1056" s="12" t="s">
        <v>2435</v>
      </c>
      <c r="B1056" s="26"/>
      <c r="C1056" s="14" t="s">
        <v>81</v>
      </c>
      <c r="D1056" s="15" t="n">
        <v>4</v>
      </c>
      <c r="E1056" s="16" t="n">
        <f aca="false">F1056/2</f>
        <v>50</v>
      </c>
      <c r="F1056" s="16" t="n">
        <v>100</v>
      </c>
      <c r="G1056" s="15" t="s">
        <v>36</v>
      </c>
      <c r="H1056" s="17" t="s">
        <v>25</v>
      </c>
      <c r="I1056" s="18" t="s">
        <v>26</v>
      </c>
      <c r="J1056" s="15" t="n">
        <v>2024</v>
      </c>
      <c r="K1056" s="19" t="s">
        <v>27</v>
      </c>
      <c r="L1056" s="15" t="s">
        <v>82</v>
      </c>
      <c r="M1056" s="15" t="s">
        <v>33</v>
      </c>
      <c r="N1056" s="17" t="s">
        <v>83</v>
      </c>
      <c r="O1056" s="15"/>
      <c r="P1056" s="15"/>
      <c r="Q1056" s="21"/>
      <c r="R1056" s="21"/>
      <c r="S1056" s="21"/>
      <c r="T1056" s="28"/>
      <c r="U1056" s="24"/>
    </row>
    <row r="1057" s="25" customFormat="true" ht="41.4" hidden="false" customHeight="false" outlineLevel="0" collapsed="false">
      <c r="A1057" s="12" t="s">
        <v>2436</v>
      </c>
      <c r="B1057" s="26"/>
      <c r="C1057" s="14" t="s">
        <v>81</v>
      </c>
      <c r="D1057" s="15" t="n">
        <v>4</v>
      </c>
      <c r="E1057" s="16" t="n">
        <f aca="false">F1057/2</f>
        <v>50</v>
      </c>
      <c r="F1057" s="16" t="n">
        <v>100</v>
      </c>
      <c r="G1057" s="15" t="s">
        <v>36</v>
      </c>
      <c r="H1057" s="17" t="s">
        <v>25</v>
      </c>
      <c r="I1057" s="18" t="s">
        <v>26</v>
      </c>
      <c r="J1057" s="15" t="n">
        <v>2024</v>
      </c>
      <c r="K1057" s="19" t="s">
        <v>27</v>
      </c>
      <c r="L1057" s="15" t="s">
        <v>82</v>
      </c>
      <c r="M1057" s="15" t="s">
        <v>33</v>
      </c>
      <c r="N1057" s="17" t="s">
        <v>83</v>
      </c>
      <c r="O1057" s="15"/>
      <c r="P1057" s="15"/>
      <c r="Q1057" s="21"/>
      <c r="R1057" s="21"/>
      <c r="S1057" s="21"/>
      <c r="T1057" s="28"/>
      <c r="U1057" s="24"/>
    </row>
    <row r="1058" s="25" customFormat="true" ht="41.4" hidden="false" customHeight="false" outlineLevel="0" collapsed="false">
      <c r="A1058" s="12" t="s">
        <v>2437</v>
      </c>
      <c r="B1058" s="26" t="s">
        <v>2438</v>
      </c>
      <c r="C1058" s="14" t="s">
        <v>246</v>
      </c>
      <c r="D1058" s="15" t="n">
        <v>6</v>
      </c>
      <c r="E1058" s="27" t="n">
        <f aca="false">F1058/2</f>
        <v>10264</v>
      </c>
      <c r="F1058" s="38" t="n">
        <v>20528</v>
      </c>
      <c r="G1058" s="15" t="s">
        <v>36</v>
      </c>
      <c r="H1058" s="17" t="s">
        <v>25</v>
      </c>
      <c r="I1058" s="18" t="s">
        <v>26</v>
      </c>
      <c r="J1058" s="15" t="n">
        <v>2017</v>
      </c>
      <c r="K1058" s="19" t="s">
        <v>27</v>
      </c>
      <c r="L1058" s="15" t="s">
        <v>28</v>
      </c>
      <c r="M1058" s="15" t="s">
        <v>33</v>
      </c>
      <c r="N1058" s="20"/>
      <c r="O1058" s="15"/>
      <c r="P1058" s="15"/>
      <c r="Q1058" s="21" t="s">
        <v>247</v>
      </c>
      <c r="R1058" s="21"/>
      <c r="S1058" s="21"/>
      <c r="T1058" s="31" t="n">
        <v>45882</v>
      </c>
      <c r="U1058" s="24" t="s">
        <v>248</v>
      </c>
    </row>
    <row r="1059" s="25" customFormat="true" ht="41.4" hidden="false" customHeight="false" outlineLevel="0" collapsed="false">
      <c r="A1059" s="12" t="s">
        <v>2439</v>
      </c>
      <c r="B1059" s="26" t="s">
        <v>2440</v>
      </c>
      <c r="C1059" s="14" t="s">
        <v>826</v>
      </c>
      <c r="D1059" s="15" t="n">
        <v>4</v>
      </c>
      <c r="E1059" s="27" t="n">
        <f aca="false">F1059/2</f>
        <v>50</v>
      </c>
      <c r="F1059" s="16" t="n">
        <v>100</v>
      </c>
      <c r="G1059" s="15" t="s">
        <v>36</v>
      </c>
      <c r="H1059" s="17" t="s">
        <v>25</v>
      </c>
      <c r="I1059" s="18" t="s">
        <v>26</v>
      </c>
      <c r="J1059" s="15" t="n">
        <v>2011</v>
      </c>
      <c r="K1059" s="19" t="s">
        <v>27</v>
      </c>
      <c r="L1059" s="15" t="s">
        <v>28</v>
      </c>
      <c r="M1059" s="15" t="s">
        <v>33</v>
      </c>
      <c r="N1059" s="20"/>
      <c r="O1059" s="15"/>
      <c r="P1059" s="15"/>
      <c r="Q1059" s="21"/>
      <c r="R1059" s="21"/>
      <c r="S1059" s="21"/>
      <c r="T1059" s="28"/>
      <c r="U1059" s="34"/>
    </row>
    <row r="1060" s="25" customFormat="true" ht="41.4" hidden="false" customHeight="false" outlineLevel="0" collapsed="false">
      <c r="A1060" s="12" t="s">
        <v>2441</v>
      </c>
      <c r="B1060" s="26" t="s">
        <v>2442</v>
      </c>
      <c r="C1060" s="14" t="s">
        <v>148</v>
      </c>
      <c r="D1060" s="15" t="n">
        <v>4</v>
      </c>
      <c r="E1060" s="27" t="n">
        <f aca="false">F1060/2</f>
        <v>1697</v>
      </c>
      <c r="F1060" s="35" t="n">
        <f aca="false">FLOOR(2829*1.2,1)</f>
        <v>3394</v>
      </c>
      <c r="G1060" s="15" t="s">
        <v>36</v>
      </c>
      <c r="H1060" s="17" t="s">
        <v>25</v>
      </c>
      <c r="I1060" s="18" t="s">
        <v>26</v>
      </c>
      <c r="J1060" s="15" t="n">
        <v>2020</v>
      </c>
      <c r="K1060" s="19" t="s">
        <v>27</v>
      </c>
      <c r="L1060" s="15" t="s">
        <v>28</v>
      </c>
      <c r="M1060" s="15" t="s">
        <v>33</v>
      </c>
      <c r="N1060" s="17" t="s">
        <v>83</v>
      </c>
      <c r="O1060" s="15"/>
      <c r="P1060" s="15"/>
      <c r="Q1060" s="21"/>
      <c r="R1060" s="21"/>
      <c r="S1060" s="21"/>
      <c r="T1060" s="31" t="n">
        <v>45882</v>
      </c>
      <c r="U1060" s="34"/>
    </row>
    <row r="1061" s="25" customFormat="true" ht="41.4" hidden="false" customHeight="false" outlineLevel="0" collapsed="false">
      <c r="A1061" s="81" t="s">
        <v>2443</v>
      </c>
      <c r="B1061" s="26"/>
      <c r="C1061" s="14" t="s">
        <v>264</v>
      </c>
      <c r="D1061" s="15" t="n">
        <v>6</v>
      </c>
      <c r="E1061" s="16" t="n">
        <f aca="false">F1061/2</f>
        <v>31169.88</v>
      </c>
      <c r="F1061" s="16" t="n">
        <f aca="false">67032*0.93</f>
        <v>62339.76</v>
      </c>
      <c r="G1061" s="15" t="s">
        <v>36</v>
      </c>
      <c r="H1061" s="17" t="s">
        <v>25</v>
      </c>
      <c r="I1061" s="18" t="s">
        <v>26</v>
      </c>
      <c r="J1061" s="15" t="n">
        <v>2024</v>
      </c>
      <c r="K1061" s="19" t="s">
        <v>27</v>
      </c>
      <c r="L1061" s="15" t="s">
        <v>28</v>
      </c>
      <c r="M1061" s="15" t="s">
        <v>33</v>
      </c>
      <c r="N1061" s="17" t="s">
        <v>123</v>
      </c>
      <c r="O1061" s="15"/>
      <c r="P1061" s="15"/>
      <c r="Q1061" s="21"/>
      <c r="R1061" s="21"/>
      <c r="S1061" s="40"/>
      <c r="T1061" s="31" t="n">
        <v>45880</v>
      </c>
      <c r="U1061" s="41"/>
    </row>
    <row r="1062" s="25" customFormat="true" ht="41.4" hidden="false" customHeight="false" outlineLevel="0" collapsed="false">
      <c r="A1062" s="12" t="s">
        <v>2444</v>
      </c>
      <c r="B1062" s="26" t="s">
        <v>2445</v>
      </c>
      <c r="C1062" s="14" t="s">
        <v>86</v>
      </c>
      <c r="D1062" s="15" t="n">
        <v>12</v>
      </c>
      <c r="E1062" s="27" t="n">
        <f aca="false">F1062/2</f>
        <v>8424</v>
      </c>
      <c r="F1062" s="32" t="n">
        <v>16848</v>
      </c>
      <c r="G1062" s="15" t="s">
        <v>24</v>
      </c>
      <c r="H1062" s="17" t="s">
        <v>25</v>
      </c>
      <c r="I1062" s="18" t="s">
        <v>26</v>
      </c>
      <c r="J1062" s="15" t="n">
        <v>2014</v>
      </c>
      <c r="K1062" s="19" t="s">
        <v>59</v>
      </c>
      <c r="L1062" s="15" t="s">
        <v>28</v>
      </c>
      <c r="M1062" s="15" t="s">
        <v>33</v>
      </c>
      <c r="N1062" s="17" t="s">
        <v>153</v>
      </c>
      <c r="O1062" s="15" t="s">
        <v>203</v>
      </c>
      <c r="P1062" s="15"/>
      <c r="Q1062" s="21" t="s">
        <v>577</v>
      </c>
      <c r="R1062" s="21"/>
      <c r="S1062" s="21"/>
      <c r="T1062" s="31" t="n">
        <v>45882</v>
      </c>
      <c r="U1062" s="24"/>
    </row>
    <row r="1063" s="25" customFormat="true" ht="41.4" hidden="false" customHeight="false" outlineLevel="0" collapsed="false">
      <c r="A1063" s="12" t="s">
        <v>2446</v>
      </c>
      <c r="B1063" s="26" t="s">
        <v>2447</v>
      </c>
      <c r="C1063" s="14" t="s">
        <v>155</v>
      </c>
      <c r="D1063" s="15" t="n">
        <v>12</v>
      </c>
      <c r="E1063" s="27" t="n">
        <f aca="false">F1063/2</f>
        <v>9487.5</v>
      </c>
      <c r="F1063" s="52" t="n">
        <v>18975</v>
      </c>
      <c r="G1063" s="15" t="s">
        <v>36</v>
      </c>
      <c r="H1063" s="17" t="s">
        <v>25</v>
      </c>
      <c r="I1063" s="18" t="s">
        <v>26</v>
      </c>
      <c r="J1063" s="15" t="n">
        <v>2017</v>
      </c>
      <c r="K1063" s="19" t="s">
        <v>65</v>
      </c>
      <c r="L1063" s="15" t="s">
        <v>28</v>
      </c>
      <c r="M1063" s="15" t="s">
        <v>33</v>
      </c>
      <c r="N1063" s="17" t="s">
        <v>153</v>
      </c>
      <c r="O1063" s="15"/>
      <c r="P1063" s="15"/>
      <c r="Q1063" s="21" t="s">
        <v>78</v>
      </c>
      <c r="R1063" s="21"/>
      <c r="S1063" s="21"/>
      <c r="T1063" s="28"/>
      <c r="U1063" s="24"/>
    </row>
    <row r="1064" s="25" customFormat="true" ht="41.4" hidden="false" customHeight="false" outlineLevel="0" collapsed="false">
      <c r="A1064" s="29" t="s">
        <v>2448</v>
      </c>
      <c r="B1064" s="26"/>
      <c r="C1064" s="14" t="s">
        <v>2449</v>
      </c>
      <c r="D1064" s="15" t="n">
        <v>12</v>
      </c>
      <c r="E1064" s="27" t="n">
        <f aca="false">F1064/2</f>
        <v>12870</v>
      </c>
      <c r="F1064" s="16" t="n">
        <v>25740</v>
      </c>
      <c r="G1064" s="15" t="s">
        <v>36</v>
      </c>
      <c r="H1064" s="17" t="s">
        <v>25</v>
      </c>
      <c r="I1064" s="18" t="s">
        <v>26</v>
      </c>
      <c r="J1064" s="15" t="n">
        <v>2024</v>
      </c>
      <c r="K1064" s="19" t="s">
        <v>65</v>
      </c>
      <c r="L1064" s="15" t="s">
        <v>28</v>
      </c>
      <c r="M1064" s="15" t="s">
        <v>33</v>
      </c>
      <c r="N1064" s="17" t="s">
        <v>153</v>
      </c>
      <c r="O1064" s="15"/>
      <c r="P1064" s="15"/>
      <c r="Q1064" s="21" t="s">
        <v>78</v>
      </c>
      <c r="R1064" s="21"/>
      <c r="S1064" s="21"/>
      <c r="T1064" s="31" t="n">
        <v>45852</v>
      </c>
      <c r="U1064" s="24"/>
    </row>
    <row r="1065" s="25" customFormat="true" ht="41.4" hidden="false" customHeight="false" outlineLevel="0" collapsed="false">
      <c r="A1065" s="12" t="s">
        <v>2450</v>
      </c>
      <c r="B1065" s="26"/>
      <c r="C1065" s="14" t="s">
        <v>81</v>
      </c>
      <c r="D1065" s="15" t="n">
        <v>4</v>
      </c>
      <c r="E1065" s="16" t="n">
        <f aca="false">F1065/2</f>
        <v>50</v>
      </c>
      <c r="F1065" s="16" t="n">
        <v>100</v>
      </c>
      <c r="G1065" s="15" t="s">
        <v>36</v>
      </c>
      <c r="H1065" s="17" t="s">
        <v>25</v>
      </c>
      <c r="I1065" s="18" t="s">
        <v>26</v>
      </c>
      <c r="J1065" s="15" t="n">
        <v>2024</v>
      </c>
      <c r="K1065" s="19" t="s">
        <v>27</v>
      </c>
      <c r="L1065" s="15" t="s">
        <v>82</v>
      </c>
      <c r="M1065" s="15" t="s">
        <v>33</v>
      </c>
      <c r="N1065" s="17" t="s">
        <v>83</v>
      </c>
      <c r="O1065" s="15"/>
      <c r="P1065" s="15"/>
      <c r="Q1065" s="21"/>
      <c r="R1065" s="21"/>
      <c r="S1065" s="21"/>
      <c r="T1065" s="28"/>
      <c r="U1065" s="24"/>
    </row>
    <row r="1066" s="25" customFormat="true" ht="41.4" hidden="false" customHeight="false" outlineLevel="0" collapsed="false">
      <c r="A1066" s="12" t="s">
        <v>2451</v>
      </c>
      <c r="B1066" s="26"/>
      <c r="C1066" s="14" t="s">
        <v>81</v>
      </c>
      <c r="D1066" s="15" t="n">
        <v>4</v>
      </c>
      <c r="E1066" s="16" t="n">
        <f aca="false">F1066/2</f>
        <v>50</v>
      </c>
      <c r="F1066" s="16" t="n">
        <v>100</v>
      </c>
      <c r="G1066" s="15" t="s">
        <v>36</v>
      </c>
      <c r="H1066" s="17" t="s">
        <v>25</v>
      </c>
      <c r="I1066" s="18" t="s">
        <v>26</v>
      </c>
      <c r="J1066" s="15" t="n">
        <v>2024</v>
      </c>
      <c r="K1066" s="19" t="s">
        <v>27</v>
      </c>
      <c r="L1066" s="15" t="s">
        <v>82</v>
      </c>
      <c r="M1066" s="15" t="s">
        <v>33</v>
      </c>
      <c r="N1066" s="17" t="s">
        <v>83</v>
      </c>
      <c r="O1066" s="15"/>
      <c r="P1066" s="15"/>
      <c r="Q1066" s="21"/>
      <c r="R1066" s="21"/>
      <c r="S1066" s="21"/>
      <c r="T1066" s="28"/>
      <c r="U1066" s="24"/>
    </row>
    <row r="1067" s="25" customFormat="true" ht="41.4" hidden="false" customHeight="false" outlineLevel="0" collapsed="false">
      <c r="A1067" s="12" t="s">
        <v>2452</v>
      </c>
      <c r="B1067" s="26" t="s">
        <v>2453</v>
      </c>
      <c r="C1067" s="14" t="s">
        <v>307</v>
      </c>
      <c r="D1067" s="15" t="n">
        <v>4</v>
      </c>
      <c r="E1067" s="27" t="n">
        <f aca="false">F1067/2</f>
        <v>50</v>
      </c>
      <c r="F1067" s="16" t="n">
        <v>100</v>
      </c>
      <c r="G1067" s="15" t="s">
        <v>36</v>
      </c>
      <c r="H1067" s="17" t="s">
        <v>25</v>
      </c>
      <c r="I1067" s="18" t="s">
        <v>26</v>
      </c>
      <c r="J1067" s="15" t="n">
        <v>2019</v>
      </c>
      <c r="K1067" s="19" t="s">
        <v>27</v>
      </c>
      <c r="L1067" s="15" t="s">
        <v>28</v>
      </c>
      <c r="M1067" s="15" t="s">
        <v>33</v>
      </c>
      <c r="N1067" s="17" t="s">
        <v>83</v>
      </c>
      <c r="O1067" s="15"/>
      <c r="P1067" s="15"/>
      <c r="Q1067" s="21"/>
      <c r="R1067" s="21"/>
      <c r="S1067" s="21"/>
      <c r="T1067" s="28"/>
      <c r="U1067" s="34"/>
    </row>
    <row r="1068" s="25" customFormat="true" ht="41.4" hidden="false" customHeight="false" outlineLevel="0" collapsed="false">
      <c r="A1068" s="12" t="s">
        <v>2454</v>
      </c>
      <c r="B1068" s="26"/>
      <c r="C1068" s="14" t="s">
        <v>609</v>
      </c>
      <c r="D1068" s="15" t="n">
        <v>4</v>
      </c>
      <c r="E1068" s="27" t="n">
        <f aca="false">F1068/2</f>
        <v>2000</v>
      </c>
      <c r="F1068" s="16" t="n">
        <v>4000</v>
      </c>
      <c r="G1068" s="15" t="s">
        <v>36</v>
      </c>
      <c r="H1068" s="17" t="s">
        <v>25</v>
      </c>
      <c r="I1068" s="18" t="s">
        <v>26</v>
      </c>
      <c r="J1068" s="15" t="n">
        <v>2025</v>
      </c>
      <c r="K1068" s="19" t="s">
        <v>27</v>
      </c>
      <c r="L1068" s="15" t="s">
        <v>28</v>
      </c>
      <c r="M1068" s="15" t="s">
        <v>33</v>
      </c>
      <c r="N1068" s="17"/>
      <c r="O1068" s="15"/>
      <c r="P1068" s="15"/>
      <c r="Q1068" s="21"/>
      <c r="R1068" s="21"/>
      <c r="S1068" s="21" t="s">
        <v>113</v>
      </c>
      <c r="T1068" s="31" t="n">
        <v>45880</v>
      </c>
      <c r="U1068" s="24"/>
    </row>
    <row r="1069" s="25" customFormat="true" ht="41.4" hidden="false" customHeight="false" outlineLevel="0" collapsed="false">
      <c r="A1069" s="12" t="s">
        <v>2455</v>
      </c>
      <c r="B1069" s="26" t="s">
        <v>2456</v>
      </c>
      <c r="C1069" s="14" t="s">
        <v>2457</v>
      </c>
      <c r="D1069" s="15" t="n">
        <v>6</v>
      </c>
      <c r="E1069" s="27" t="n">
        <f aca="false">F1069/2</f>
        <v>5148</v>
      </c>
      <c r="F1069" s="16" t="n">
        <f aca="false">FLOOR(8580*1.2,1)</f>
        <v>10296</v>
      </c>
      <c r="G1069" s="15" t="s">
        <v>36</v>
      </c>
      <c r="H1069" s="17" t="s">
        <v>25</v>
      </c>
      <c r="I1069" s="18" t="s">
        <v>26</v>
      </c>
      <c r="J1069" s="15" t="n">
        <v>2022</v>
      </c>
      <c r="K1069" s="19" t="s">
        <v>27</v>
      </c>
      <c r="L1069" s="15" t="s">
        <v>28</v>
      </c>
      <c r="M1069" s="15" t="s">
        <v>33</v>
      </c>
      <c r="N1069" s="17"/>
      <c r="O1069" s="15"/>
      <c r="P1069" s="15"/>
      <c r="Q1069" s="21"/>
      <c r="R1069" s="21"/>
      <c r="S1069" s="21"/>
      <c r="T1069" s="28"/>
      <c r="U1069" s="24"/>
    </row>
    <row r="1070" s="25" customFormat="true" ht="41.4" hidden="false" customHeight="false" outlineLevel="0" collapsed="false">
      <c r="A1070" s="12" t="s">
        <v>2458</v>
      </c>
      <c r="B1070" s="26" t="s">
        <v>2459</v>
      </c>
      <c r="C1070" s="14" t="s">
        <v>1196</v>
      </c>
      <c r="D1070" s="15" t="n">
        <v>12</v>
      </c>
      <c r="E1070" s="27" t="n">
        <f aca="false">F1070/2</f>
        <v>3514</v>
      </c>
      <c r="F1070" s="16" t="n">
        <v>7028</v>
      </c>
      <c r="G1070" s="15" t="s">
        <v>36</v>
      </c>
      <c r="H1070" s="17" t="s">
        <v>25</v>
      </c>
      <c r="I1070" s="18" t="s">
        <v>26</v>
      </c>
      <c r="J1070" s="15" t="n">
        <v>2020</v>
      </c>
      <c r="K1070" s="19" t="s">
        <v>27</v>
      </c>
      <c r="L1070" s="15" t="s">
        <v>28</v>
      </c>
      <c r="M1070" s="15" t="s">
        <v>33</v>
      </c>
      <c r="N1070" s="20"/>
      <c r="O1070" s="15"/>
      <c r="P1070" s="15"/>
      <c r="Q1070" s="21" t="s">
        <v>78</v>
      </c>
      <c r="R1070" s="21"/>
      <c r="S1070" s="21"/>
      <c r="T1070" s="31" t="n">
        <v>45846</v>
      </c>
      <c r="U1070" s="34"/>
    </row>
    <row r="1071" s="25" customFormat="true" ht="41.4" hidden="false" customHeight="false" outlineLevel="0" collapsed="false">
      <c r="A1071" s="12" t="s">
        <v>2460</v>
      </c>
      <c r="B1071" s="26" t="s">
        <v>2461</v>
      </c>
      <c r="C1071" s="14"/>
      <c r="D1071" s="15" t="n">
        <v>6</v>
      </c>
      <c r="E1071" s="27" t="n">
        <f aca="false">F1071/2</f>
        <v>1770</v>
      </c>
      <c r="F1071" s="16" t="n">
        <v>3540</v>
      </c>
      <c r="G1071" s="15" t="s">
        <v>24</v>
      </c>
      <c r="H1071" s="17" t="s">
        <v>25</v>
      </c>
      <c r="I1071" s="18" t="s">
        <v>26</v>
      </c>
      <c r="J1071" s="15" t="n">
        <v>2017</v>
      </c>
      <c r="K1071" s="19" t="s">
        <v>27</v>
      </c>
      <c r="L1071" s="15" t="s">
        <v>28</v>
      </c>
      <c r="M1071" s="15" t="s">
        <v>33</v>
      </c>
      <c r="N1071" s="17" t="s">
        <v>543</v>
      </c>
      <c r="O1071" s="15"/>
      <c r="P1071" s="15"/>
      <c r="Q1071" s="21" t="s">
        <v>78</v>
      </c>
      <c r="R1071" s="21"/>
      <c r="S1071" s="21"/>
      <c r="T1071" s="28"/>
      <c r="U1071" s="24"/>
    </row>
    <row r="1072" s="25" customFormat="true" ht="41.4" hidden="false" customHeight="false" outlineLevel="0" collapsed="false">
      <c r="A1072" s="12" t="s">
        <v>2462</v>
      </c>
      <c r="B1072" s="26"/>
      <c r="C1072" s="14" t="s">
        <v>1027</v>
      </c>
      <c r="D1072" s="15" t="n">
        <v>4</v>
      </c>
      <c r="E1072" s="27" t="n">
        <f aca="false">F1072/2</f>
        <v>50</v>
      </c>
      <c r="F1072" s="16" t="n">
        <v>100</v>
      </c>
      <c r="G1072" s="15" t="s">
        <v>36</v>
      </c>
      <c r="H1072" s="17" t="s">
        <v>25</v>
      </c>
      <c r="I1072" s="18" t="s">
        <v>26</v>
      </c>
      <c r="J1072" s="15" t="n">
        <v>2025</v>
      </c>
      <c r="K1072" s="19" t="s">
        <v>27</v>
      </c>
      <c r="L1072" s="15" t="s">
        <v>28</v>
      </c>
      <c r="M1072" s="15" t="s">
        <v>33</v>
      </c>
      <c r="N1072" s="17" t="s">
        <v>719</v>
      </c>
      <c r="O1072" s="15"/>
      <c r="P1072" s="15"/>
      <c r="Q1072" s="21"/>
      <c r="R1072" s="21"/>
      <c r="S1072" s="21"/>
      <c r="T1072" s="28"/>
      <c r="U1072" s="24"/>
    </row>
    <row r="1073" s="25" customFormat="true" ht="79.8" hidden="false" customHeight="false" outlineLevel="0" collapsed="false">
      <c r="A1073" s="12" t="s">
        <v>2463</v>
      </c>
      <c r="B1073" s="26" t="s">
        <v>2464</v>
      </c>
      <c r="C1073" s="14" t="s">
        <v>2465</v>
      </c>
      <c r="D1073" s="15" t="n">
        <v>6</v>
      </c>
      <c r="E1073" s="27" t="n">
        <f aca="false">F1073/2</f>
        <v>3800</v>
      </c>
      <c r="F1073" s="16" t="n">
        <v>7600</v>
      </c>
      <c r="G1073" s="15" t="s">
        <v>354</v>
      </c>
      <c r="H1073" s="17" t="s">
        <v>25</v>
      </c>
      <c r="I1073" s="18" t="s">
        <v>26</v>
      </c>
      <c r="J1073" s="15" t="n">
        <v>2005</v>
      </c>
      <c r="K1073" s="19" t="s">
        <v>27</v>
      </c>
      <c r="L1073" s="15" t="s">
        <v>28</v>
      </c>
      <c r="M1073" s="15" t="s">
        <v>33</v>
      </c>
      <c r="N1073" s="17"/>
      <c r="O1073" s="15"/>
      <c r="P1073" s="15"/>
      <c r="Q1073" s="21" t="s">
        <v>47</v>
      </c>
      <c r="R1073" s="21"/>
      <c r="S1073" s="21"/>
      <c r="T1073" s="28"/>
      <c r="U1073" s="24" t="s">
        <v>2466</v>
      </c>
    </row>
    <row r="1074" s="25" customFormat="true" ht="41.4" hidden="false" customHeight="false" outlineLevel="0" collapsed="false">
      <c r="A1074" s="36" t="s">
        <v>2467</v>
      </c>
      <c r="B1074" s="26" t="s">
        <v>2468</v>
      </c>
      <c r="C1074" s="14" t="s">
        <v>531</v>
      </c>
      <c r="D1074" s="15" t="n">
        <v>4</v>
      </c>
      <c r="E1074" s="27" t="n">
        <f aca="false">F1074/2</f>
        <v>2222.5</v>
      </c>
      <c r="F1074" s="16" t="n">
        <v>4445</v>
      </c>
      <c r="G1074" s="15" t="s">
        <v>36</v>
      </c>
      <c r="H1074" s="17" t="s">
        <v>25</v>
      </c>
      <c r="I1074" s="18" t="s">
        <v>26</v>
      </c>
      <c r="J1074" s="15" t="n">
        <v>2020</v>
      </c>
      <c r="K1074" s="19" t="s">
        <v>27</v>
      </c>
      <c r="L1074" s="15" t="s">
        <v>28</v>
      </c>
      <c r="M1074" s="15" t="s">
        <v>33</v>
      </c>
      <c r="N1074" s="20"/>
      <c r="O1074" s="15"/>
      <c r="P1074" s="15"/>
      <c r="Q1074" s="21"/>
      <c r="R1074" s="21"/>
      <c r="S1074" s="21"/>
      <c r="T1074" s="28"/>
      <c r="U1074" s="34"/>
    </row>
    <row r="1075" s="25" customFormat="true" ht="41.4" hidden="false" customHeight="false" outlineLevel="0" collapsed="false">
      <c r="A1075" s="36" t="s">
        <v>2469</v>
      </c>
      <c r="B1075" s="26" t="s">
        <v>2470</v>
      </c>
      <c r="C1075" s="14" t="s">
        <v>171</v>
      </c>
      <c r="D1075" s="15" t="n">
        <v>4</v>
      </c>
      <c r="E1075" s="27" t="n">
        <f aca="false">F1075/2</f>
        <v>1725</v>
      </c>
      <c r="F1075" s="16" t="n">
        <v>3450</v>
      </c>
      <c r="G1075" s="15" t="s">
        <v>36</v>
      </c>
      <c r="H1075" s="17" t="s">
        <v>25</v>
      </c>
      <c r="I1075" s="18" t="s">
        <v>26</v>
      </c>
      <c r="J1075" s="15" t="n">
        <v>2014</v>
      </c>
      <c r="K1075" s="19" t="s">
        <v>27</v>
      </c>
      <c r="L1075" s="15" t="s">
        <v>28</v>
      </c>
      <c r="M1075" s="15" t="s">
        <v>33</v>
      </c>
      <c r="N1075" s="17" t="s">
        <v>96</v>
      </c>
      <c r="O1075" s="15"/>
      <c r="P1075" s="15"/>
      <c r="Q1075" s="21" t="s">
        <v>97</v>
      </c>
      <c r="R1075" s="21"/>
      <c r="S1075" s="21"/>
      <c r="T1075" s="28"/>
      <c r="U1075" s="24"/>
    </row>
    <row r="1076" s="25" customFormat="true" ht="41.4" hidden="false" customHeight="false" outlineLevel="0" collapsed="false">
      <c r="A1076" s="36" t="s">
        <v>2471</v>
      </c>
      <c r="B1076" s="26" t="s">
        <v>2472</v>
      </c>
      <c r="C1076" s="14" t="s">
        <v>1324</v>
      </c>
      <c r="D1076" s="15" t="n">
        <v>4</v>
      </c>
      <c r="E1076" s="27" t="n">
        <f aca="false">F1076/2</f>
        <v>360</v>
      </c>
      <c r="F1076" s="16" t="n">
        <v>720</v>
      </c>
      <c r="G1076" s="15" t="s">
        <v>36</v>
      </c>
      <c r="H1076" s="17" t="s">
        <v>25</v>
      </c>
      <c r="I1076" s="18" t="s">
        <v>26</v>
      </c>
      <c r="J1076" s="15" t="n">
        <v>2014</v>
      </c>
      <c r="K1076" s="19" t="s">
        <v>1325</v>
      </c>
      <c r="L1076" s="15" t="s">
        <v>28</v>
      </c>
      <c r="M1076" s="15" t="s">
        <v>33</v>
      </c>
      <c r="N1076" s="17" t="s">
        <v>83</v>
      </c>
      <c r="O1076" s="15"/>
      <c r="P1076" s="15"/>
      <c r="Q1076" s="21" t="s">
        <v>302</v>
      </c>
      <c r="R1076" s="21"/>
      <c r="S1076" s="21"/>
      <c r="T1076" s="28"/>
      <c r="U1076" s="24"/>
    </row>
    <row r="1077" s="25" customFormat="true" ht="41.4" hidden="false" customHeight="false" outlineLevel="0" collapsed="false">
      <c r="A1077" s="36" t="s">
        <v>2473</v>
      </c>
      <c r="B1077" s="26" t="s">
        <v>2474</v>
      </c>
      <c r="C1077" s="14" t="s">
        <v>1324</v>
      </c>
      <c r="D1077" s="15" t="n">
        <v>4</v>
      </c>
      <c r="E1077" s="27" t="n">
        <f aca="false">F1077/2</f>
        <v>360</v>
      </c>
      <c r="F1077" s="16" t="n">
        <v>720</v>
      </c>
      <c r="G1077" s="15" t="s">
        <v>36</v>
      </c>
      <c r="H1077" s="17" t="s">
        <v>25</v>
      </c>
      <c r="I1077" s="18" t="s">
        <v>26</v>
      </c>
      <c r="J1077" s="15" t="n">
        <v>2014</v>
      </c>
      <c r="K1077" s="19" t="s">
        <v>1325</v>
      </c>
      <c r="L1077" s="15" t="s">
        <v>28</v>
      </c>
      <c r="M1077" s="15" t="s">
        <v>33</v>
      </c>
      <c r="N1077" s="17" t="s">
        <v>83</v>
      </c>
      <c r="O1077" s="15"/>
      <c r="P1077" s="15"/>
      <c r="Q1077" s="21" t="s">
        <v>302</v>
      </c>
      <c r="R1077" s="21"/>
      <c r="S1077" s="21"/>
      <c r="T1077" s="28"/>
      <c r="U1077" s="24"/>
    </row>
    <row r="1078" s="25" customFormat="true" ht="41.4" hidden="false" customHeight="false" outlineLevel="0" collapsed="false">
      <c r="A1078" s="36" t="s">
        <v>2475</v>
      </c>
      <c r="B1078" s="26" t="s">
        <v>2476</v>
      </c>
      <c r="C1078" s="14" t="s">
        <v>1156</v>
      </c>
      <c r="D1078" s="15" t="n">
        <v>12</v>
      </c>
      <c r="E1078" s="27"/>
      <c r="F1078" s="27" t="s">
        <v>1157</v>
      </c>
      <c r="G1078" s="15" t="s">
        <v>36</v>
      </c>
      <c r="H1078" s="17" t="s">
        <v>25</v>
      </c>
      <c r="I1078" s="18" t="s">
        <v>26</v>
      </c>
      <c r="J1078" s="15" t="n">
        <v>2021</v>
      </c>
      <c r="K1078" s="19" t="s">
        <v>27</v>
      </c>
      <c r="L1078" s="15" t="s">
        <v>28</v>
      </c>
      <c r="M1078" s="15" t="s">
        <v>33</v>
      </c>
      <c r="N1078" s="17" t="s">
        <v>431</v>
      </c>
      <c r="O1078" s="15"/>
      <c r="P1078" s="15"/>
      <c r="Q1078" s="21"/>
      <c r="R1078" s="21"/>
      <c r="S1078" s="21"/>
      <c r="T1078" s="28"/>
      <c r="U1078" s="34"/>
    </row>
    <row r="1079" s="25" customFormat="true" ht="41.4" hidden="false" customHeight="false" outlineLevel="0" collapsed="false">
      <c r="A1079" s="36" t="s">
        <v>2477</v>
      </c>
      <c r="B1079" s="26" t="s">
        <v>2478</v>
      </c>
      <c r="C1079" s="14" t="s">
        <v>1156</v>
      </c>
      <c r="D1079" s="15" t="n">
        <v>12</v>
      </c>
      <c r="E1079" s="27" t="n">
        <f aca="false">F1079/2</f>
        <v>4320</v>
      </c>
      <c r="F1079" s="16" t="n">
        <f aca="false">7200*1.2</f>
        <v>8640</v>
      </c>
      <c r="G1079" s="15" t="s">
        <v>36</v>
      </c>
      <c r="H1079" s="17" t="s">
        <v>25</v>
      </c>
      <c r="I1079" s="18" t="s">
        <v>26</v>
      </c>
      <c r="J1079" s="15" t="n">
        <v>2021</v>
      </c>
      <c r="K1079" s="19" t="s">
        <v>27</v>
      </c>
      <c r="L1079" s="15" t="s">
        <v>28</v>
      </c>
      <c r="M1079" s="15" t="s">
        <v>33</v>
      </c>
      <c r="N1079" s="17" t="s">
        <v>431</v>
      </c>
      <c r="O1079" s="15"/>
      <c r="P1079" s="15"/>
      <c r="Q1079" s="21"/>
      <c r="R1079" s="21"/>
      <c r="S1079" s="21"/>
      <c r="T1079" s="28"/>
      <c r="U1079" s="34"/>
    </row>
    <row r="1080" s="25" customFormat="true" ht="41.4" hidden="false" customHeight="false" outlineLevel="0" collapsed="false">
      <c r="A1080" s="39" t="s">
        <v>2479</v>
      </c>
      <c r="B1080" s="26" t="s">
        <v>2480</v>
      </c>
      <c r="C1080" s="14" t="s">
        <v>264</v>
      </c>
      <c r="D1080" s="15" t="n">
        <v>12</v>
      </c>
      <c r="E1080" s="16" t="n">
        <f aca="false">F1080/2</f>
        <v>54070.2</v>
      </c>
      <c r="F1080" s="16" t="n">
        <f aca="false">116280*0.93</f>
        <v>108140.4</v>
      </c>
      <c r="G1080" s="15" t="s">
        <v>36</v>
      </c>
      <c r="H1080" s="17" t="s">
        <v>25</v>
      </c>
      <c r="I1080" s="18" t="s">
        <v>26</v>
      </c>
      <c r="J1080" s="15" t="n">
        <v>2024</v>
      </c>
      <c r="K1080" s="19" t="s">
        <v>27</v>
      </c>
      <c r="L1080" s="15" t="s">
        <v>28</v>
      </c>
      <c r="M1080" s="15" t="s">
        <v>33</v>
      </c>
      <c r="N1080" s="17" t="s">
        <v>431</v>
      </c>
      <c r="O1080" s="15"/>
      <c r="P1080" s="15"/>
      <c r="Q1080" s="21"/>
      <c r="R1080" s="21"/>
      <c r="S1080" s="40"/>
      <c r="T1080" s="31" t="n">
        <v>45880</v>
      </c>
      <c r="U1080" s="41"/>
    </row>
    <row r="1081" s="25" customFormat="true" ht="41.4" hidden="false" customHeight="false" outlineLevel="0" collapsed="false">
      <c r="A1081" s="39" t="s">
        <v>2481</v>
      </c>
      <c r="B1081" s="26"/>
      <c r="C1081" s="14" t="s">
        <v>264</v>
      </c>
      <c r="D1081" s="15" t="n">
        <v>12</v>
      </c>
      <c r="E1081" s="27" t="n">
        <f aca="false">F1081/2</f>
        <v>54070.2</v>
      </c>
      <c r="F1081" s="16" t="n">
        <f aca="false">116280*0.93</f>
        <v>108140.4</v>
      </c>
      <c r="G1081" s="15" t="s">
        <v>36</v>
      </c>
      <c r="H1081" s="17" t="s">
        <v>25</v>
      </c>
      <c r="I1081" s="18" t="s">
        <v>26</v>
      </c>
      <c r="J1081" s="15" t="n">
        <v>2024</v>
      </c>
      <c r="K1081" s="19" t="s">
        <v>27</v>
      </c>
      <c r="L1081" s="15" t="s">
        <v>28</v>
      </c>
      <c r="M1081" s="15" t="s">
        <v>33</v>
      </c>
      <c r="N1081" s="17" t="s">
        <v>431</v>
      </c>
      <c r="O1081" s="15"/>
      <c r="P1081" s="15"/>
      <c r="Q1081" s="21"/>
      <c r="R1081" s="21"/>
      <c r="S1081" s="21"/>
      <c r="T1081" s="31" t="n">
        <v>45880</v>
      </c>
      <c r="U1081" s="24"/>
    </row>
    <row r="1082" s="25" customFormat="true" ht="41.4" hidden="false" customHeight="false" outlineLevel="0" collapsed="false">
      <c r="A1082" s="39" t="s">
        <v>2482</v>
      </c>
      <c r="B1082" s="26"/>
      <c r="C1082" s="14" t="s">
        <v>264</v>
      </c>
      <c r="D1082" s="15" t="n">
        <v>12</v>
      </c>
      <c r="E1082" s="16" t="n">
        <f aca="false">F1082/2</f>
        <v>61067.52</v>
      </c>
      <c r="F1082" s="16" t="n">
        <f aca="false">131328*0.93</f>
        <v>122135.04</v>
      </c>
      <c r="G1082" s="15" t="s">
        <v>36</v>
      </c>
      <c r="H1082" s="17" t="s">
        <v>25</v>
      </c>
      <c r="I1082" s="18" t="s">
        <v>26</v>
      </c>
      <c r="J1082" s="15" t="n">
        <v>2024</v>
      </c>
      <c r="K1082" s="19" t="s">
        <v>27</v>
      </c>
      <c r="L1082" s="15" t="s">
        <v>28</v>
      </c>
      <c r="M1082" s="15" t="s">
        <v>33</v>
      </c>
      <c r="N1082" s="17" t="s">
        <v>431</v>
      </c>
      <c r="O1082" s="15"/>
      <c r="P1082" s="15"/>
      <c r="Q1082" s="21"/>
      <c r="R1082" s="21"/>
      <c r="S1082" s="40"/>
      <c r="T1082" s="31" t="n">
        <v>45880</v>
      </c>
      <c r="U1082" s="41"/>
    </row>
    <row r="1083" s="25" customFormat="true" ht="41.4" hidden="false" customHeight="false" outlineLevel="0" collapsed="false">
      <c r="A1083" s="39" t="s">
        <v>2483</v>
      </c>
      <c r="B1083" s="26" t="s">
        <v>2484</v>
      </c>
      <c r="C1083" s="14" t="s">
        <v>264</v>
      </c>
      <c r="D1083" s="30" t="n">
        <v>12</v>
      </c>
      <c r="E1083" s="16" t="n">
        <f aca="false">F1083/2</f>
        <v>61067.52</v>
      </c>
      <c r="F1083" s="16" t="n">
        <f aca="false">131328*0.93</f>
        <v>122135.04</v>
      </c>
      <c r="G1083" s="15" t="s">
        <v>36</v>
      </c>
      <c r="H1083" s="17" t="s">
        <v>25</v>
      </c>
      <c r="I1083" s="18" t="s">
        <v>26</v>
      </c>
      <c r="J1083" s="15" t="n">
        <v>2024</v>
      </c>
      <c r="K1083" s="19" t="s">
        <v>27</v>
      </c>
      <c r="L1083" s="15" t="s">
        <v>28</v>
      </c>
      <c r="M1083" s="15" t="s">
        <v>33</v>
      </c>
      <c r="N1083" s="17" t="s">
        <v>431</v>
      </c>
      <c r="O1083" s="15"/>
      <c r="P1083" s="15"/>
      <c r="Q1083" s="21"/>
      <c r="R1083" s="21"/>
      <c r="S1083" s="40"/>
      <c r="T1083" s="31" t="n">
        <v>45880</v>
      </c>
      <c r="U1083" s="41"/>
    </row>
    <row r="1084" s="25" customFormat="true" ht="41.4" hidden="false" customHeight="false" outlineLevel="0" collapsed="false">
      <c r="A1084" s="36" t="s">
        <v>2485</v>
      </c>
      <c r="B1084" s="26"/>
      <c r="C1084" s="14" t="s">
        <v>122</v>
      </c>
      <c r="D1084" s="15" t="n">
        <v>12</v>
      </c>
      <c r="E1084" s="27" t="n">
        <v>23628</v>
      </c>
      <c r="F1084" s="16" t="n">
        <v>39204</v>
      </c>
      <c r="G1084" s="15" t="s">
        <v>36</v>
      </c>
      <c r="H1084" s="17" t="s">
        <v>25</v>
      </c>
      <c r="I1084" s="18" t="s">
        <v>26</v>
      </c>
      <c r="J1084" s="15" t="n">
        <v>2017</v>
      </c>
      <c r="K1084" s="19" t="s">
        <v>27</v>
      </c>
      <c r="L1084" s="15" t="s">
        <v>28</v>
      </c>
      <c r="M1084" s="15" t="s">
        <v>33</v>
      </c>
      <c r="N1084" s="17" t="s">
        <v>431</v>
      </c>
      <c r="O1084" s="15"/>
      <c r="P1084" s="15"/>
      <c r="Q1084" s="21"/>
      <c r="R1084" s="21"/>
      <c r="S1084" s="21"/>
      <c r="T1084" s="28"/>
      <c r="U1084" s="24"/>
    </row>
    <row r="1085" s="25" customFormat="true" ht="41.4" hidden="false" customHeight="false" outlineLevel="0" collapsed="false">
      <c r="A1085" s="36" t="s">
        <v>2486</v>
      </c>
      <c r="B1085" s="26"/>
      <c r="C1085" s="14" t="s">
        <v>122</v>
      </c>
      <c r="D1085" s="15" t="n">
        <v>12</v>
      </c>
      <c r="E1085" s="27" t="n">
        <v>14190</v>
      </c>
      <c r="F1085" s="16" t="n">
        <v>28380</v>
      </c>
      <c r="G1085" s="15" t="s">
        <v>36</v>
      </c>
      <c r="H1085" s="17" t="s">
        <v>25</v>
      </c>
      <c r="I1085" s="18" t="s">
        <v>26</v>
      </c>
      <c r="J1085" s="15" t="n">
        <v>2025</v>
      </c>
      <c r="K1085" s="19" t="s">
        <v>27</v>
      </c>
      <c r="L1085" s="15" t="s">
        <v>28</v>
      </c>
      <c r="M1085" s="15" t="s">
        <v>33</v>
      </c>
      <c r="N1085" s="17"/>
      <c r="O1085" s="15"/>
      <c r="P1085" s="15"/>
      <c r="Q1085" s="21"/>
      <c r="R1085" s="21"/>
      <c r="S1085" s="21"/>
      <c r="T1085" s="28"/>
      <c r="U1085" s="24"/>
    </row>
    <row r="1086" s="25" customFormat="true" ht="41.4" hidden="false" customHeight="false" outlineLevel="0" collapsed="false">
      <c r="A1086" s="36" t="s">
        <v>2487</v>
      </c>
      <c r="B1086" s="26" t="s">
        <v>2488</v>
      </c>
      <c r="C1086" s="14" t="s">
        <v>246</v>
      </c>
      <c r="D1086" s="15" t="n">
        <v>6</v>
      </c>
      <c r="E1086" s="27" t="n">
        <f aca="false">F1086/2</f>
        <v>12820</v>
      </c>
      <c r="F1086" s="38" t="n">
        <v>25640</v>
      </c>
      <c r="G1086" s="15" t="s">
        <v>36</v>
      </c>
      <c r="H1086" s="17" t="s">
        <v>25</v>
      </c>
      <c r="I1086" s="18" t="s">
        <v>26</v>
      </c>
      <c r="J1086" s="15" t="n">
        <v>2017</v>
      </c>
      <c r="K1086" s="19" t="s">
        <v>27</v>
      </c>
      <c r="L1086" s="15" t="s">
        <v>28</v>
      </c>
      <c r="M1086" s="15" t="s">
        <v>33</v>
      </c>
      <c r="N1086" s="20"/>
      <c r="O1086" s="15"/>
      <c r="P1086" s="15"/>
      <c r="Q1086" s="21" t="s">
        <v>247</v>
      </c>
      <c r="R1086" s="21"/>
      <c r="S1086" s="21"/>
      <c r="T1086" s="31" t="n">
        <v>45882</v>
      </c>
      <c r="U1086" s="24" t="s">
        <v>248</v>
      </c>
    </row>
    <row r="1087" s="25" customFormat="true" ht="41.4" hidden="false" customHeight="false" outlineLevel="0" collapsed="false">
      <c r="A1087" s="36" t="s">
        <v>2489</v>
      </c>
      <c r="B1087" s="26" t="s">
        <v>2490</v>
      </c>
      <c r="C1087" s="14" t="s">
        <v>2491</v>
      </c>
      <c r="D1087" s="15" t="n">
        <v>4</v>
      </c>
      <c r="E1087" s="27" t="n">
        <f aca="false">F1087/2</f>
        <v>50</v>
      </c>
      <c r="F1087" s="16" t="n">
        <v>100</v>
      </c>
      <c r="G1087" s="15" t="s">
        <v>36</v>
      </c>
      <c r="H1087" s="17" t="s">
        <v>25</v>
      </c>
      <c r="I1087" s="18" t="s">
        <v>26</v>
      </c>
      <c r="J1087" s="15" t="n">
        <v>2019</v>
      </c>
      <c r="K1087" s="19" t="s">
        <v>27</v>
      </c>
      <c r="L1087" s="15" t="s">
        <v>28</v>
      </c>
      <c r="M1087" s="15" t="s">
        <v>33</v>
      </c>
      <c r="N1087" s="20" t="s">
        <v>83</v>
      </c>
      <c r="O1087" s="15"/>
      <c r="P1087" s="15"/>
      <c r="Q1087" s="21" t="s">
        <v>302</v>
      </c>
      <c r="R1087" s="21"/>
      <c r="S1087" s="21"/>
      <c r="T1087" s="28"/>
      <c r="U1087" s="34"/>
    </row>
    <row r="1088" s="25" customFormat="true" ht="41.4" hidden="false" customHeight="false" outlineLevel="0" collapsed="false">
      <c r="A1088" s="36" t="s">
        <v>2492</v>
      </c>
      <c r="B1088" s="26" t="s">
        <v>2493</v>
      </c>
      <c r="C1088" s="14" t="s">
        <v>246</v>
      </c>
      <c r="D1088" s="15" t="n">
        <v>6</v>
      </c>
      <c r="E1088" s="27" t="n">
        <f aca="false">F1088/2</f>
        <v>11868.5</v>
      </c>
      <c r="F1088" s="38" t="n">
        <v>23737</v>
      </c>
      <c r="G1088" s="15" t="s">
        <v>36</v>
      </c>
      <c r="H1088" s="17" t="s">
        <v>25</v>
      </c>
      <c r="I1088" s="18" t="s">
        <v>26</v>
      </c>
      <c r="J1088" s="15" t="n">
        <v>2017</v>
      </c>
      <c r="K1088" s="19" t="s">
        <v>27</v>
      </c>
      <c r="L1088" s="15" t="s">
        <v>28</v>
      </c>
      <c r="M1088" s="15" t="s">
        <v>33</v>
      </c>
      <c r="N1088" s="20"/>
      <c r="O1088" s="15"/>
      <c r="P1088" s="15"/>
      <c r="Q1088" s="21" t="s">
        <v>247</v>
      </c>
      <c r="R1088" s="21"/>
      <c r="S1088" s="21"/>
      <c r="T1088" s="31" t="n">
        <v>45882</v>
      </c>
      <c r="U1088" s="24" t="s">
        <v>248</v>
      </c>
    </row>
    <row r="1089" s="25" customFormat="true" ht="41.4" hidden="false" customHeight="false" outlineLevel="0" collapsed="false">
      <c r="A1089" s="39" t="s">
        <v>2494</v>
      </c>
      <c r="B1089" s="26"/>
      <c r="C1089" s="14" t="s">
        <v>264</v>
      </c>
      <c r="D1089" s="30" t="n">
        <v>6</v>
      </c>
      <c r="E1089" s="16" t="n">
        <f aca="false">F1089/2</f>
        <v>28307.34</v>
      </c>
      <c r="F1089" s="16" t="n">
        <f aca="false">60876*0.93</f>
        <v>56614.68</v>
      </c>
      <c r="G1089" s="15" t="s">
        <v>36</v>
      </c>
      <c r="H1089" s="17" t="s">
        <v>25</v>
      </c>
      <c r="I1089" s="18" t="s">
        <v>26</v>
      </c>
      <c r="J1089" s="15" t="n">
        <v>2024</v>
      </c>
      <c r="K1089" s="19" t="s">
        <v>27</v>
      </c>
      <c r="L1089" s="15" t="s">
        <v>28</v>
      </c>
      <c r="M1089" s="15" t="s">
        <v>33</v>
      </c>
      <c r="N1089" s="30"/>
      <c r="O1089" s="60"/>
      <c r="P1089" s="60"/>
      <c r="Q1089" s="21"/>
      <c r="R1089" s="21"/>
      <c r="S1089" s="40"/>
      <c r="T1089" s="31" t="n">
        <v>45880</v>
      </c>
      <c r="U1089" s="41"/>
    </row>
    <row r="1090" s="25" customFormat="true" ht="45.6" hidden="false" customHeight="false" outlineLevel="0" collapsed="false">
      <c r="A1090" s="36" t="s">
        <v>2495</v>
      </c>
      <c r="B1090" s="26" t="s">
        <v>2496</v>
      </c>
      <c r="C1090" s="14"/>
      <c r="D1090" s="15" t="n">
        <v>52</v>
      </c>
      <c r="E1090" s="27" t="n">
        <v>1300</v>
      </c>
      <c r="F1090" s="16" t="n">
        <v>2600</v>
      </c>
      <c r="G1090" s="15" t="s">
        <v>354</v>
      </c>
      <c r="H1090" s="17" t="s">
        <v>25</v>
      </c>
      <c r="I1090" s="18" t="s">
        <v>26</v>
      </c>
      <c r="J1090" s="15" t="n">
        <v>2000</v>
      </c>
      <c r="K1090" s="19" t="s">
        <v>27</v>
      </c>
      <c r="L1090" s="15" t="s">
        <v>103</v>
      </c>
      <c r="M1090" s="15" t="s">
        <v>33</v>
      </c>
      <c r="N1090" s="17" t="s">
        <v>343</v>
      </c>
      <c r="O1090" s="15"/>
      <c r="P1090" s="15"/>
      <c r="Q1090" s="21" t="s">
        <v>534</v>
      </c>
      <c r="R1090" s="21"/>
      <c r="S1090" s="21"/>
      <c r="T1090" s="28"/>
      <c r="U1090" s="24" t="s">
        <v>2497</v>
      </c>
    </row>
    <row r="1091" s="25" customFormat="true" ht="41.4" hidden="false" customHeight="false" outlineLevel="0" collapsed="false">
      <c r="A1091" s="36" t="s">
        <v>2498</v>
      </c>
      <c r="B1091" s="26" t="s">
        <v>2499</v>
      </c>
      <c r="C1091" s="14" t="s">
        <v>2046</v>
      </c>
      <c r="D1091" s="15" t="n">
        <v>4</v>
      </c>
      <c r="E1091" s="27" t="n">
        <v>4500</v>
      </c>
      <c r="F1091" s="16" t="n">
        <v>9000</v>
      </c>
      <c r="G1091" s="15" t="s">
        <v>36</v>
      </c>
      <c r="H1091" s="17" t="s">
        <v>25</v>
      </c>
      <c r="I1091" s="18" t="s">
        <v>26</v>
      </c>
      <c r="J1091" s="15" t="n">
        <v>2017</v>
      </c>
      <c r="K1091" s="19" t="s">
        <v>2047</v>
      </c>
      <c r="L1091" s="15" t="s">
        <v>28</v>
      </c>
      <c r="M1091" s="15" t="s">
        <v>33</v>
      </c>
      <c r="N1091" s="17" t="s">
        <v>83</v>
      </c>
      <c r="O1091" s="15"/>
      <c r="P1091" s="15"/>
      <c r="Q1091" s="21" t="s">
        <v>302</v>
      </c>
      <c r="R1091" s="21"/>
      <c r="S1091" s="21"/>
      <c r="T1091" s="28"/>
      <c r="U1091" s="24"/>
    </row>
    <row r="1092" s="25" customFormat="true" ht="41.4" hidden="false" customHeight="false" outlineLevel="0" collapsed="false">
      <c r="A1092" s="36" t="s">
        <v>2500</v>
      </c>
      <c r="B1092" s="26" t="s">
        <v>2501</v>
      </c>
      <c r="C1092" s="14" t="s">
        <v>2046</v>
      </c>
      <c r="D1092" s="15" t="n">
        <v>4</v>
      </c>
      <c r="E1092" s="27" t="n">
        <v>4500</v>
      </c>
      <c r="F1092" s="16" t="n">
        <v>9000</v>
      </c>
      <c r="G1092" s="15" t="s">
        <v>36</v>
      </c>
      <c r="H1092" s="17" t="s">
        <v>25</v>
      </c>
      <c r="I1092" s="18" t="s">
        <v>26</v>
      </c>
      <c r="J1092" s="15" t="n">
        <v>2017</v>
      </c>
      <c r="K1092" s="19" t="s">
        <v>2047</v>
      </c>
      <c r="L1092" s="15" t="s">
        <v>28</v>
      </c>
      <c r="M1092" s="15" t="s">
        <v>33</v>
      </c>
      <c r="N1092" s="17" t="s">
        <v>83</v>
      </c>
      <c r="O1092" s="15"/>
      <c r="P1092" s="15"/>
      <c r="Q1092" s="21" t="s">
        <v>302</v>
      </c>
      <c r="R1092" s="21"/>
      <c r="S1092" s="21"/>
      <c r="T1092" s="28"/>
      <c r="U1092" s="24"/>
    </row>
    <row r="1093" s="25" customFormat="true" ht="41.4" hidden="false" customHeight="false" outlineLevel="0" collapsed="false">
      <c r="A1093" s="36" t="s">
        <v>2502</v>
      </c>
      <c r="B1093" s="26"/>
      <c r="C1093" s="14" t="s">
        <v>337</v>
      </c>
      <c r="D1093" s="15" t="n">
        <v>4</v>
      </c>
      <c r="E1093" s="16" t="n">
        <f aca="false">F1093/2</f>
        <v>624</v>
      </c>
      <c r="F1093" s="16" t="n">
        <f aca="false">1040*1.2</f>
        <v>1248</v>
      </c>
      <c r="G1093" s="15" t="s">
        <v>36</v>
      </c>
      <c r="H1093" s="17" t="s">
        <v>25</v>
      </c>
      <c r="I1093" s="18" t="s">
        <v>26</v>
      </c>
      <c r="J1093" s="15" t="n">
        <v>2024</v>
      </c>
      <c r="K1093" s="19" t="s">
        <v>27</v>
      </c>
      <c r="L1093" s="15" t="s">
        <v>28</v>
      </c>
      <c r="M1093" s="15" t="s">
        <v>33</v>
      </c>
      <c r="N1093" s="17" t="s">
        <v>83</v>
      </c>
      <c r="O1093" s="15"/>
      <c r="P1093" s="15"/>
      <c r="Q1093" s="21"/>
      <c r="R1093" s="21"/>
      <c r="S1093" s="21"/>
      <c r="T1093" s="28"/>
      <c r="U1093" s="34"/>
    </row>
    <row r="1094" s="25" customFormat="true" ht="41.4" hidden="false" customHeight="false" outlineLevel="0" collapsed="false">
      <c r="A1094" s="36" t="s">
        <v>2503</v>
      </c>
      <c r="B1094" s="26" t="s">
        <v>2504</v>
      </c>
      <c r="C1094" s="14" t="s">
        <v>2505</v>
      </c>
      <c r="D1094" s="15" t="n">
        <v>12</v>
      </c>
      <c r="E1094" s="27" t="n">
        <f aca="false">F1094/2</f>
        <v>3600</v>
      </c>
      <c r="F1094" s="16" t="n">
        <v>7200</v>
      </c>
      <c r="G1094" s="15" t="s">
        <v>24</v>
      </c>
      <c r="H1094" s="17" t="s">
        <v>25</v>
      </c>
      <c r="I1094" s="18" t="s">
        <v>26</v>
      </c>
      <c r="J1094" s="15" t="n">
        <v>2000</v>
      </c>
      <c r="K1094" s="19" t="s">
        <v>27</v>
      </c>
      <c r="L1094" s="15" t="s">
        <v>28</v>
      </c>
      <c r="M1094" s="15" t="s">
        <v>33</v>
      </c>
      <c r="N1094" s="17" t="s">
        <v>45</v>
      </c>
      <c r="O1094" s="15" t="s">
        <v>54</v>
      </c>
      <c r="P1094" s="15"/>
      <c r="Q1094" s="21" t="s">
        <v>47</v>
      </c>
      <c r="R1094" s="21"/>
      <c r="S1094" s="21"/>
      <c r="T1094" s="28"/>
      <c r="U1094" s="24" t="s">
        <v>2506</v>
      </c>
    </row>
    <row r="1095" s="25" customFormat="true" ht="41.4" hidden="false" customHeight="false" outlineLevel="0" collapsed="false">
      <c r="A1095" s="36" t="s">
        <v>2507</v>
      </c>
      <c r="B1095" s="26" t="s">
        <v>2508</v>
      </c>
      <c r="C1095" s="14" t="s">
        <v>182</v>
      </c>
      <c r="D1095" s="15" t="n">
        <v>4</v>
      </c>
      <c r="E1095" s="27" t="n">
        <v>800</v>
      </c>
      <c r="F1095" s="16" t="n">
        <v>1600</v>
      </c>
      <c r="G1095" s="15" t="s">
        <v>24</v>
      </c>
      <c r="H1095" s="17" t="s">
        <v>25</v>
      </c>
      <c r="I1095" s="18" t="s">
        <v>26</v>
      </c>
      <c r="J1095" s="15" t="n">
        <v>2017</v>
      </c>
      <c r="K1095" s="19" t="s">
        <v>27</v>
      </c>
      <c r="L1095" s="15" t="s">
        <v>28</v>
      </c>
      <c r="M1095" s="15" t="s">
        <v>33</v>
      </c>
      <c r="N1095" s="17" t="s">
        <v>45</v>
      </c>
      <c r="O1095" s="15"/>
      <c r="P1095" s="15"/>
      <c r="Q1095" s="21" t="s">
        <v>1972</v>
      </c>
      <c r="R1095" s="21"/>
      <c r="S1095" s="21"/>
      <c r="T1095" s="28"/>
      <c r="U1095" s="24"/>
    </row>
    <row r="1096" s="25" customFormat="true" ht="41.4" hidden="false" customHeight="false" outlineLevel="0" collapsed="false">
      <c r="A1096" s="36" t="s">
        <v>2509</v>
      </c>
      <c r="B1096" s="26" t="s">
        <v>2510</v>
      </c>
      <c r="C1096" s="14" t="s">
        <v>2511</v>
      </c>
      <c r="D1096" s="15" t="n">
        <v>6</v>
      </c>
      <c r="E1096" s="27" t="n">
        <f aca="false">F1096/2</f>
        <v>50</v>
      </c>
      <c r="F1096" s="16" t="n">
        <v>100</v>
      </c>
      <c r="G1096" s="15" t="s">
        <v>36</v>
      </c>
      <c r="H1096" s="17" t="s">
        <v>25</v>
      </c>
      <c r="I1096" s="18" t="s">
        <v>26</v>
      </c>
      <c r="J1096" s="17" t="n">
        <v>2020</v>
      </c>
      <c r="K1096" s="19" t="s">
        <v>2512</v>
      </c>
      <c r="L1096" s="15" t="s">
        <v>28</v>
      </c>
      <c r="M1096" s="15" t="s">
        <v>33</v>
      </c>
      <c r="N1096" s="20" t="s">
        <v>45</v>
      </c>
      <c r="O1096" s="15"/>
      <c r="P1096" s="15"/>
      <c r="Q1096" s="21"/>
      <c r="R1096" s="21"/>
      <c r="S1096" s="21"/>
      <c r="T1096" s="28"/>
      <c r="U1096" s="34"/>
    </row>
    <row r="1097" s="25" customFormat="true" ht="68.4" hidden="false" customHeight="false" outlineLevel="0" collapsed="false">
      <c r="A1097" s="36" t="s">
        <v>2513</v>
      </c>
      <c r="B1097" s="26" t="s">
        <v>2514</v>
      </c>
      <c r="C1097" s="14" t="s">
        <v>1051</v>
      </c>
      <c r="D1097" s="15" t="n">
        <v>4</v>
      </c>
      <c r="E1097" s="27" t="n">
        <f aca="false">F1097/2</f>
        <v>5520</v>
      </c>
      <c r="F1097" s="16" t="n">
        <f aca="false">9200*1.2</f>
        <v>11040</v>
      </c>
      <c r="G1097" s="15" t="s">
        <v>24</v>
      </c>
      <c r="H1097" s="17" t="s">
        <v>25</v>
      </c>
      <c r="I1097" s="18" t="s">
        <v>26</v>
      </c>
      <c r="J1097" s="15" t="n">
        <v>2012</v>
      </c>
      <c r="K1097" s="19" t="s">
        <v>27</v>
      </c>
      <c r="L1097" s="15" t="s">
        <v>28</v>
      </c>
      <c r="M1097" s="15" t="s">
        <v>33</v>
      </c>
      <c r="N1097" s="17" t="s">
        <v>45</v>
      </c>
      <c r="O1097" s="15" t="s">
        <v>250</v>
      </c>
      <c r="P1097" s="15"/>
      <c r="Q1097" s="21" t="s">
        <v>862</v>
      </c>
      <c r="R1097" s="21"/>
      <c r="S1097" s="21"/>
      <c r="T1097" s="31" t="n">
        <v>45856</v>
      </c>
      <c r="U1097" s="24" t="s">
        <v>2515</v>
      </c>
    </row>
    <row r="1098" s="25" customFormat="true" ht="41.4" hidden="false" customHeight="false" outlineLevel="0" collapsed="false">
      <c r="A1098" s="36" t="s">
        <v>2516</v>
      </c>
      <c r="B1098" s="26" t="s">
        <v>2517</v>
      </c>
      <c r="C1098" s="14" t="s">
        <v>1051</v>
      </c>
      <c r="D1098" s="15" t="n">
        <v>4</v>
      </c>
      <c r="E1098" s="27" t="n">
        <f aca="false">F1098/2</f>
        <v>3000</v>
      </c>
      <c r="F1098" s="16" t="n">
        <f aca="false">5000*1.2</f>
        <v>6000</v>
      </c>
      <c r="G1098" s="15" t="s">
        <v>24</v>
      </c>
      <c r="H1098" s="17" t="s">
        <v>25</v>
      </c>
      <c r="I1098" s="18" t="s">
        <v>26</v>
      </c>
      <c r="J1098" s="15" t="n">
        <v>2017</v>
      </c>
      <c r="K1098" s="19" t="s">
        <v>27</v>
      </c>
      <c r="L1098" s="15" t="s">
        <v>28</v>
      </c>
      <c r="M1098" s="15" t="s">
        <v>33</v>
      </c>
      <c r="N1098" s="17" t="s">
        <v>45</v>
      </c>
      <c r="O1098" s="15"/>
      <c r="P1098" s="15"/>
      <c r="Q1098" s="21" t="s">
        <v>862</v>
      </c>
      <c r="R1098" s="21"/>
      <c r="S1098" s="21"/>
      <c r="T1098" s="31" t="n">
        <v>45856</v>
      </c>
      <c r="U1098" s="24"/>
    </row>
    <row r="1099" s="25" customFormat="true" ht="41.4" hidden="false" customHeight="false" outlineLevel="0" collapsed="false">
      <c r="A1099" s="36" t="s">
        <v>2518</v>
      </c>
      <c r="B1099" s="26" t="s">
        <v>2519</v>
      </c>
      <c r="C1099" s="14"/>
      <c r="D1099" s="15" t="n">
        <v>6</v>
      </c>
      <c r="E1099" s="27" t="n">
        <f aca="false">F1099/2</f>
        <v>150</v>
      </c>
      <c r="F1099" s="16" t="n">
        <f aca="false">6*50</f>
        <v>300</v>
      </c>
      <c r="G1099" s="15" t="s">
        <v>354</v>
      </c>
      <c r="H1099" s="17" t="s">
        <v>25</v>
      </c>
      <c r="I1099" s="18" t="s">
        <v>26</v>
      </c>
      <c r="J1099" s="15" t="n">
        <v>2012</v>
      </c>
      <c r="K1099" s="19" t="s">
        <v>52</v>
      </c>
      <c r="L1099" s="15" t="s">
        <v>28</v>
      </c>
      <c r="M1099" s="15" t="s">
        <v>33</v>
      </c>
      <c r="N1099" s="17" t="s">
        <v>45</v>
      </c>
      <c r="O1099" s="15" t="s">
        <v>54</v>
      </c>
      <c r="P1099" s="15"/>
      <c r="Q1099" s="21" t="s">
        <v>1972</v>
      </c>
      <c r="R1099" s="21"/>
      <c r="S1099" s="21"/>
      <c r="T1099" s="28"/>
      <c r="U1099" s="24"/>
    </row>
    <row r="1100" s="25" customFormat="true" ht="57" hidden="false" customHeight="false" outlineLevel="0" collapsed="false">
      <c r="A1100" s="36" t="s">
        <v>2520</v>
      </c>
      <c r="B1100" s="26" t="s">
        <v>2521</v>
      </c>
      <c r="C1100" s="14"/>
      <c r="D1100" s="15" t="n">
        <v>12</v>
      </c>
      <c r="E1100" s="27" t="n">
        <v>695</v>
      </c>
      <c r="F1100" s="16" t="n">
        <f aca="false">E1100*2</f>
        <v>1390</v>
      </c>
      <c r="G1100" s="15" t="s">
        <v>24</v>
      </c>
      <c r="H1100" s="17" t="s">
        <v>25</v>
      </c>
      <c r="I1100" s="18" t="s">
        <v>26</v>
      </c>
      <c r="J1100" s="15" t="n">
        <v>2008</v>
      </c>
      <c r="K1100" s="19" t="s">
        <v>27</v>
      </c>
      <c r="L1100" s="15" t="s">
        <v>28</v>
      </c>
      <c r="M1100" s="15" t="s">
        <v>33</v>
      </c>
      <c r="N1100" s="17" t="s">
        <v>45</v>
      </c>
      <c r="O1100" s="15"/>
      <c r="P1100" s="15"/>
      <c r="Q1100" s="21" t="s">
        <v>862</v>
      </c>
      <c r="R1100" s="21"/>
      <c r="S1100" s="21"/>
      <c r="T1100" s="28"/>
      <c r="U1100" s="24" t="s">
        <v>2522</v>
      </c>
    </row>
    <row r="1101" s="25" customFormat="true" ht="41.4" hidden="false" customHeight="false" outlineLevel="0" collapsed="false">
      <c r="A1101" s="36" t="s">
        <v>2523</v>
      </c>
      <c r="B1101" s="26" t="s">
        <v>2524</v>
      </c>
      <c r="C1101" s="14" t="s">
        <v>816</v>
      </c>
      <c r="D1101" s="15" t="n">
        <v>6</v>
      </c>
      <c r="E1101" s="27" t="n">
        <f aca="false">F1101/2</f>
        <v>900</v>
      </c>
      <c r="F1101" s="16" t="n">
        <v>1800</v>
      </c>
      <c r="G1101" s="15" t="s">
        <v>36</v>
      </c>
      <c r="H1101" s="17" t="s">
        <v>25</v>
      </c>
      <c r="I1101" s="18" t="s">
        <v>26</v>
      </c>
      <c r="J1101" s="15" t="n">
        <v>2017</v>
      </c>
      <c r="K1101" s="19" t="s">
        <v>27</v>
      </c>
      <c r="L1101" s="15" t="s">
        <v>28</v>
      </c>
      <c r="M1101" s="15" t="s">
        <v>33</v>
      </c>
      <c r="N1101" s="17" t="s">
        <v>83</v>
      </c>
      <c r="O1101" s="15"/>
      <c r="P1101" s="15"/>
      <c r="Q1101" s="21" t="s">
        <v>302</v>
      </c>
      <c r="R1101" s="21"/>
      <c r="S1101" s="21"/>
      <c r="T1101" s="28"/>
      <c r="U1101" s="24"/>
    </row>
    <row r="1102" s="25" customFormat="true" ht="41.4" hidden="false" customHeight="false" outlineLevel="0" collapsed="false">
      <c r="A1102" s="36" t="s">
        <v>2525</v>
      </c>
      <c r="B1102" s="26" t="s">
        <v>2526</v>
      </c>
      <c r="C1102" s="14" t="s">
        <v>1324</v>
      </c>
      <c r="D1102" s="15" t="n">
        <v>4</v>
      </c>
      <c r="E1102" s="27" t="n">
        <f aca="false">F1102/2</f>
        <v>360</v>
      </c>
      <c r="F1102" s="16" t="n">
        <v>720</v>
      </c>
      <c r="G1102" s="15" t="s">
        <v>36</v>
      </c>
      <c r="H1102" s="17" t="s">
        <v>25</v>
      </c>
      <c r="I1102" s="18" t="s">
        <v>26</v>
      </c>
      <c r="J1102" s="15" t="n">
        <v>2014</v>
      </c>
      <c r="K1102" s="19" t="s">
        <v>1325</v>
      </c>
      <c r="L1102" s="15" t="s">
        <v>28</v>
      </c>
      <c r="M1102" s="15" t="s">
        <v>33</v>
      </c>
      <c r="N1102" s="17" t="s">
        <v>83</v>
      </c>
      <c r="O1102" s="15"/>
      <c r="P1102" s="15"/>
      <c r="Q1102" s="21" t="s">
        <v>302</v>
      </c>
      <c r="R1102" s="21"/>
      <c r="S1102" s="21"/>
      <c r="T1102" s="28"/>
      <c r="U1102" s="24"/>
    </row>
    <row r="1103" s="25" customFormat="true" ht="41.4" hidden="false" customHeight="false" outlineLevel="0" collapsed="false">
      <c r="A1103" s="36" t="s">
        <v>2527</v>
      </c>
      <c r="B1103" s="26"/>
      <c r="C1103" s="14" t="s">
        <v>81</v>
      </c>
      <c r="D1103" s="15" t="s">
        <v>2528</v>
      </c>
      <c r="E1103" s="16" t="n">
        <f aca="false">F1103/2</f>
        <v>50</v>
      </c>
      <c r="F1103" s="16" t="n">
        <v>100</v>
      </c>
      <c r="G1103" s="15" t="s">
        <v>36</v>
      </c>
      <c r="H1103" s="17" t="s">
        <v>25</v>
      </c>
      <c r="I1103" s="18" t="s">
        <v>26</v>
      </c>
      <c r="J1103" s="15" t="n">
        <v>2024</v>
      </c>
      <c r="K1103" s="19" t="s">
        <v>27</v>
      </c>
      <c r="L1103" s="15" t="s">
        <v>304</v>
      </c>
      <c r="M1103" s="15" t="s">
        <v>33</v>
      </c>
      <c r="N1103" s="17" t="s">
        <v>83</v>
      </c>
      <c r="O1103" s="15"/>
      <c r="P1103" s="15"/>
      <c r="Q1103" s="21"/>
      <c r="R1103" s="21"/>
      <c r="S1103" s="21"/>
      <c r="T1103" s="28"/>
      <c r="U1103" s="24"/>
    </row>
    <row r="1104" s="25" customFormat="true" ht="41.4" hidden="false" customHeight="false" outlineLevel="0" collapsed="false">
      <c r="A1104" s="36" t="s">
        <v>2529</v>
      </c>
      <c r="B1104" s="26" t="s">
        <v>2530</v>
      </c>
      <c r="C1104" s="14" t="s">
        <v>2531</v>
      </c>
      <c r="D1104" s="15" t="n">
        <v>6</v>
      </c>
      <c r="E1104" s="27" t="n">
        <f aca="false">F1104/2</f>
        <v>1300</v>
      </c>
      <c r="F1104" s="16" t="n">
        <v>2600</v>
      </c>
      <c r="G1104" s="15" t="s">
        <v>24</v>
      </c>
      <c r="H1104" s="17" t="s">
        <v>25</v>
      </c>
      <c r="I1104" s="18" t="s">
        <v>26</v>
      </c>
      <c r="J1104" s="15" t="n">
        <v>2003</v>
      </c>
      <c r="K1104" s="19" t="s">
        <v>27</v>
      </c>
      <c r="L1104" s="15" t="s">
        <v>28</v>
      </c>
      <c r="M1104" s="15" t="s">
        <v>33</v>
      </c>
      <c r="N1104" s="17" t="s">
        <v>83</v>
      </c>
      <c r="O1104" s="15"/>
      <c r="P1104" s="15"/>
      <c r="Q1104" s="21" t="s">
        <v>939</v>
      </c>
      <c r="R1104" s="21"/>
      <c r="S1104" s="21"/>
      <c r="T1104" s="28"/>
      <c r="U1104" s="24" t="s">
        <v>2532</v>
      </c>
    </row>
    <row r="1105" s="25" customFormat="true" ht="41.4" hidden="false" customHeight="false" outlineLevel="0" collapsed="false">
      <c r="A1105" s="36" t="s">
        <v>2533</v>
      </c>
      <c r="B1105" s="26" t="s">
        <v>2534</v>
      </c>
      <c r="C1105" s="14"/>
      <c r="D1105" s="15" t="n">
        <v>8</v>
      </c>
      <c r="E1105" s="27" t="n">
        <f aca="false">F1105/2</f>
        <v>4400</v>
      </c>
      <c r="F1105" s="16" t="n">
        <v>8800</v>
      </c>
      <c r="G1105" s="15" t="s">
        <v>36</v>
      </c>
      <c r="H1105" s="17" t="s">
        <v>25</v>
      </c>
      <c r="I1105" s="18" t="s">
        <v>26</v>
      </c>
      <c r="J1105" s="15"/>
      <c r="K1105" s="19"/>
      <c r="L1105" s="15"/>
      <c r="M1105" s="15"/>
      <c r="N1105" s="17"/>
      <c r="O1105" s="15"/>
      <c r="P1105" s="15"/>
      <c r="Q1105" s="21"/>
      <c r="R1105" s="21"/>
      <c r="S1105" s="21"/>
      <c r="T1105" s="28"/>
      <c r="U1105" s="24"/>
    </row>
    <row r="1106" s="25" customFormat="true" ht="41.4" hidden="false" customHeight="false" outlineLevel="0" collapsed="false">
      <c r="A1106" s="36" t="s">
        <v>2535</v>
      </c>
      <c r="B1106" s="26"/>
      <c r="C1106" s="14" t="s">
        <v>2536</v>
      </c>
      <c r="D1106" s="15" t="n">
        <v>2</v>
      </c>
      <c r="E1106" s="27" t="n">
        <f aca="false">F1106/2</f>
        <v>50</v>
      </c>
      <c r="F1106" s="16" t="n">
        <v>100</v>
      </c>
      <c r="G1106" s="15" t="s">
        <v>36</v>
      </c>
      <c r="H1106" s="17" t="s">
        <v>25</v>
      </c>
      <c r="I1106" s="18" t="s">
        <v>26</v>
      </c>
      <c r="J1106" s="15" t="n">
        <v>2025</v>
      </c>
      <c r="K1106" s="19" t="s">
        <v>27</v>
      </c>
      <c r="L1106" s="15" t="s">
        <v>28</v>
      </c>
      <c r="M1106" s="15" t="s">
        <v>33</v>
      </c>
      <c r="N1106" s="17"/>
      <c r="O1106" s="15"/>
      <c r="P1106" s="15"/>
      <c r="Q1106" s="21"/>
      <c r="R1106" s="21"/>
      <c r="S1106" s="21"/>
      <c r="T1106" s="31" t="n">
        <v>45893</v>
      </c>
      <c r="U1106" s="24"/>
    </row>
    <row r="1107" s="25" customFormat="true" ht="41.4" hidden="false" customHeight="false" outlineLevel="0" collapsed="false">
      <c r="A1107" s="36" t="s">
        <v>2537</v>
      </c>
      <c r="B1107" s="26"/>
      <c r="C1107" s="14" t="s">
        <v>122</v>
      </c>
      <c r="D1107" s="15" t="n">
        <v>12</v>
      </c>
      <c r="E1107" s="27" t="n">
        <v>14190</v>
      </c>
      <c r="F1107" s="16" t="n">
        <v>28380</v>
      </c>
      <c r="G1107" s="15" t="s">
        <v>36</v>
      </c>
      <c r="H1107" s="17" t="s">
        <v>25</v>
      </c>
      <c r="I1107" s="18" t="s">
        <v>26</v>
      </c>
      <c r="J1107" s="15" t="n">
        <v>2025</v>
      </c>
      <c r="K1107" s="19" t="s">
        <v>27</v>
      </c>
      <c r="L1107" s="15" t="s">
        <v>28</v>
      </c>
      <c r="M1107" s="15" t="s">
        <v>33</v>
      </c>
      <c r="N1107" s="17"/>
      <c r="O1107" s="15"/>
      <c r="P1107" s="15"/>
      <c r="Q1107" s="21"/>
      <c r="R1107" s="21"/>
      <c r="S1107" s="21"/>
      <c r="T1107" s="28"/>
      <c r="U1107" s="24"/>
    </row>
    <row r="1108" s="25" customFormat="true" ht="41.4" hidden="false" customHeight="false" outlineLevel="0" collapsed="false">
      <c r="A1108" s="36" t="s">
        <v>2538</v>
      </c>
      <c r="B1108" s="26"/>
      <c r="C1108" s="14" t="s">
        <v>2539</v>
      </c>
      <c r="D1108" s="15" t="n">
        <v>12</v>
      </c>
      <c r="E1108" s="27" t="n">
        <f aca="false">F1108/2</f>
        <v>75900</v>
      </c>
      <c r="F1108" s="16" t="n">
        <v>151800</v>
      </c>
      <c r="G1108" s="15" t="s">
        <v>36</v>
      </c>
      <c r="H1108" s="17" t="s">
        <v>25</v>
      </c>
      <c r="I1108" s="18" t="s">
        <v>26</v>
      </c>
      <c r="J1108" s="15" t="n">
        <v>2023</v>
      </c>
      <c r="K1108" s="19" t="s">
        <v>27</v>
      </c>
      <c r="L1108" s="15" t="s">
        <v>28</v>
      </c>
      <c r="M1108" s="15" t="s">
        <v>33</v>
      </c>
      <c r="N1108" s="17"/>
      <c r="O1108" s="15"/>
      <c r="P1108" s="15"/>
      <c r="Q1108" s="21"/>
      <c r="R1108" s="21"/>
      <c r="S1108" s="21"/>
      <c r="T1108" s="31" t="n">
        <v>45883</v>
      </c>
      <c r="U1108" s="24"/>
    </row>
    <row r="1109" s="25" customFormat="true" ht="41.4" hidden="false" customHeight="false" outlineLevel="0" collapsed="false">
      <c r="A1109" s="36" t="s">
        <v>2540</v>
      </c>
      <c r="B1109" s="26" t="s">
        <v>2541</v>
      </c>
      <c r="C1109" s="14" t="s">
        <v>246</v>
      </c>
      <c r="D1109" s="15" t="n">
        <v>6</v>
      </c>
      <c r="E1109" s="27" t="n">
        <f aca="false">F1109/2</f>
        <v>11774</v>
      </c>
      <c r="F1109" s="38" t="n">
        <v>23548</v>
      </c>
      <c r="G1109" s="15" t="s">
        <v>36</v>
      </c>
      <c r="H1109" s="17" t="s">
        <v>25</v>
      </c>
      <c r="I1109" s="18" t="s">
        <v>26</v>
      </c>
      <c r="J1109" s="15" t="n">
        <v>2017</v>
      </c>
      <c r="K1109" s="19" t="s">
        <v>27</v>
      </c>
      <c r="L1109" s="15" t="s">
        <v>28</v>
      </c>
      <c r="M1109" s="15" t="s">
        <v>33</v>
      </c>
      <c r="N1109" s="17"/>
      <c r="O1109" s="15"/>
      <c r="P1109" s="15"/>
      <c r="Q1109" s="21" t="s">
        <v>247</v>
      </c>
      <c r="R1109" s="21"/>
      <c r="S1109" s="21"/>
      <c r="T1109" s="31" t="n">
        <v>45882</v>
      </c>
      <c r="U1109" s="24" t="s">
        <v>248</v>
      </c>
    </row>
    <row r="1110" s="25" customFormat="true" ht="41.4" hidden="false" customHeight="false" outlineLevel="0" collapsed="false">
      <c r="A1110" s="36" t="s">
        <v>2542</v>
      </c>
      <c r="B1110" s="26" t="s">
        <v>2543</v>
      </c>
      <c r="C1110" s="14" t="s">
        <v>246</v>
      </c>
      <c r="D1110" s="15" t="n">
        <v>12</v>
      </c>
      <c r="E1110" s="27" t="n">
        <f aca="false">F1110/2</f>
        <v>20512</v>
      </c>
      <c r="F1110" s="38" t="n">
        <v>41024</v>
      </c>
      <c r="G1110" s="15" t="s">
        <v>36</v>
      </c>
      <c r="H1110" s="17" t="s">
        <v>25</v>
      </c>
      <c r="I1110" s="18" t="s">
        <v>26</v>
      </c>
      <c r="J1110" s="15" t="n">
        <v>2017</v>
      </c>
      <c r="K1110" s="19" t="s">
        <v>27</v>
      </c>
      <c r="L1110" s="15" t="s">
        <v>28</v>
      </c>
      <c r="M1110" s="15" t="s">
        <v>33</v>
      </c>
      <c r="N1110" s="20" t="s">
        <v>381</v>
      </c>
      <c r="O1110" s="15"/>
      <c r="P1110" s="15"/>
      <c r="Q1110" s="21" t="s">
        <v>247</v>
      </c>
      <c r="R1110" s="21"/>
      <c r="S1110" s="21"/>
      <c r="T1110" s="31" t="n">
        <v>45882</v>
      </c>
      <c r="U1110" s="24" t="s">
        <v>248</v>
      </c>
    </row>
    <row r="1111" s="25" customFormat="true" ht="41.4" hidden="false" customHeight="false" outlineLevel="0" collapsed="false">
      <c r="A1111" s="36" t="s">
        <v>2544</v>
      </c>
      <c r="B1111" s="26" t="s">
        <v>2545</v>
      </c>
      <c r="C1111" s="14" t="s">
        <v>155</v>
      </c>
      <c r="D1111" s="15" t="n">
        <v>24</v>
      </c>
      <c r="E1111" s="27" t="n">
        <f aca="false">F1111/2</f>
        <v>9801</v>
      </c>
      <c r="F1111" s="52" t="n">
        <v>19602</v>
      </c>
      <c r="G1111" s="15" t="s">
        <v>36</v>
      </c>
      <c r="H1111" s="17" t="s">
        <v>25</v>
      </c>
      <c r="I1111" s="18" t="s">
        <v>26</v>
      </c>
      <c r="J1111" s="15" t="n">
        <v>2017</v>
      </c>
      <c r="K1111" s="19" t="s">
        <v>65</v>
      </c>
      <c r="L1111" s="15" t="s">
        <v>28</v>
      </c>
      <c r="M1111" s="15" t="s">
        <v>33</v>
      </c>
      <c r="N1111" s="17" t="s">
        <v>153</v>
      </c>
      <c r="O1111" s="15"/>
      <c r="P1111" s="15"/>
      <c r="Q1111" s="21" t="s">
        <v>78</v>
      </c>
      <c r="R1111" s="21"/>
      <c r="S1111" s="21"/>
      <c r="T1111" s="28"/>
      <c r="U1111" s="24"/>
    </row>
    <row r="1112" s="25" customFormat="true" ht="41.4" hidden="false" customHeight="false" outlineLevel="0" collapsed="false">
      <c r="A1112" s="36" t="s">
        <v>2546</v>
      </c>
      <c r="B1112" s="26" t="s">
        <v>2547</v>
      </c>
      <c r="C1112" s="14" t="s">
        <v>246</v>
      </c>
      <c r="D1112" s="15" t="n">
        <v>12</v>
      </c>
      <c r="E1112" s="27" t="n">
        <f aca="false">F1112/2</f>
        <v>24421</v>
      </c>
      <c r="F1112" s="38" t="n">
        <v>48842</v>
      </c>
      <c r="G1112" s="15" t="s">
        <v>36</v>
      </c>
      <c r="H1112" s="17" t="s">
        <v>25</v>
      </c>
      <c r="I1112" s="18" t="s">
        <v>26</v>
      </c>
      <c r="J1112" s="15" t="n">
        <v>2017</v>
      </c>
      <c r="K1112" s="19" t="s">
        <v>27</v>
      </c>
      <c r="L1112" s="15" t="s">
        <v>28</v>
      </c>
      <c r="M1112" s="15" t="s">
        <v>33</v>
      </c>
      <c r="N1112" s="20" t="s">
        <v>153</v>
      </c>
      <c r="O1112" s="15"/>
      <c r="P1112" s="15"/>
      <c r="Q1112" s="21" t="s">
        <v>247</v>
      </c>
      <c r="R1112" s="21"/>
      <c r="S1112" s="21"/>
      <c r="T1112" s="31" t="n">
        <v>45882</v>
      </c>
      <c r="U1112" s="24"/>
    </row>
    <row r="1113" s="25" customFormat="true" ht="41.4" hidden="false" customHeight="false" outlineLevel="0" collapsed="false">
      <c r="A1113" s="36" t="s">
        <v>2548</v>
      </c>
      <c r="B1113" s="26" t="s">
        <v>2549</v>
      </c>
      <c r="C1113" s="14" t="s">
        <v>2550</v>
      </c>
      <c r="D1113" s="15" t="n">
        <v>4</v>
      </c>
      <c r="E1113" s="27" t="n">
        <f aca="false">F1113/2</f>
        <v>50</v>
      </c>
      <c r="F1113" s="16" t="n">
        <v>100</v>
      </c>
      <c r="G1113" s="15" t="s">
        <v>36</v>
      </c>
      <c r="H1113" s="17" t="s">
        <v>25</v>
      </c>
      <c r="I1113" s="18" t="s">
        <v>26</v>
      </c>
      <c r="J1113" s="15" t="n">
        <v>2018</v>
      </c>
      <c r="K1113" s="19" t="s">
        <v>27</v>
      </c>
      <c r="L1113" s="15" t="s">
        <v>28</v>
      </c>
      <c r="M1113" s="15" t="s">
        <v>33</v>
      </c>
      <c r="N1113" s="17"/>
      <c r="O1113" s="15"/>
      <c r="P1113" s="15"/>
      <c r="Q1113" s="21"/>
      <c r="R1113" s="21"/>
      <c r="S1113" s="21"/>
      <c r="T1113" s="28"/>
      <c r="U1113" s="34"/>
    </row>
    <row r="1114" s="25" customFormat="true" ht="41.4" hidden="false" customHeight="false" outlineLevel="0" collapsed="false">
      <c r="A1114" s="36" t="s">
        <v>2551</v>
      </c>
      <c r="B1114" s="26" t="s">
        <v>2552</v>
      </c>
      <c r="C1114" s="14" t="s">
        <v>1776</v>
      </c>
      <c r="D1114" s="15" t="n">
        <v>12</v>
      </c>
      <c r="E1114" s="27" t="n">
        <f aca="false">F1114/2</f>
        <v>39780</v>
      </c>
      <c r="F1114" s="16" t="n">
        <f aca="false">CEILING(66300*1.2,1)</f>
        <v>79560</v>
      </c>
      <c r="G1114" s="15" t="s">
        <v>36</v>
      </c>
      <c r="H1114" s="17" t="s">
        <v>25</v>
      </c>
      <c r="I1114" s="18" t="s">
        <v>26</v>
      </c>
      <c r="J1114" s="15" t="n">
        <v>2020</v>
      </c>
      <c r="K1114" s="19" t="s">
        <v>27</v>
      </c>
      <c r="L1114" s="15" t="s">
        <v>28</v>
      </c>
      <c r="M1114" s="15" t="s">
        <v>33</v>
      </c>
      <c r="N1114" s="20" t="s">
        <v>53</v>
      </c>
      <c r="O1114" s="15"/>
      <c r="P1114" s="15"/>
      <c r="Q1114" s="21"/>
      <c r="R1114" s="21"/>
      <c r="S1114" s="21"/>
      <c r="T1114" s="31" t="n">
        <v>45919</v>
      </c>
      <c r="U1114" s="34"/>
    </row>
    <row r="1115" s="25" customFormat="true" ht="41.4" hidden="false" customHeight="false" outlineLevel="0" collapsed="false">
      <c r="A1115" s="36" t="s">
        <v>2553</v>
      </c>
      <c r="B1115" s="26" t="s">
        <v>2554</v>
      </c>
      <c r="C1115" s="14" t="s">
        <v>148</v>
      </c>
      <c r="D1115" s="15" t="n">
        <v>4</v>
      </c>
      <c r="E1115" s="27" t="n">
        <f aca="false">F1115/2</f>
        <v>50</v>
      </c>
      <c r="F1115" s="35" t="n">
        <v>100</v>
      </c>
      <c r="G1115" s="15" t="s">
        <v>36</v>
      </c>
      <c r="H1115" s="17" t="s">
        <v>25</v>
      </c>
      <c r="I1115" s="18" t="s">
        <v>26</v>
      </c>
      <c r="J1115" s="15" t="n">
        <v>2020</v>
      </c>
      <c r="K1115" s="19" t="s">
        <v>27</v>
      </c>
      <c r="L1115" s="15" t="s">
        <v>28</v>
      </c>
      <c r="M1115" s="15" t="s">
        <v>33</v>
      </c>
      <c r="N1115" s="17" t="s">
        <v>83</v>
      </c>
      <c r="O1115" s="15"/>
      <c r="P1115" s="15"/>
      <c r="Q1115" s="21"/>
      <c r="R1115" s="21"/>
      <c r="S1115" s="21"/>
      <c r="T1115" s="31" t="n">
        <v>45882</v>
      </c>
      <c r="U1115" s="34"/>
    </row>
    <row r="1116" s="25" customFormat="true" ht="41.4" hidden="false" customHeight="false" outlineLevel="0" collapsed="false">
      <c r="A1116" s="36" t="s">
        <v>2555</v>
      </c>
      <c r="B1116" s="26" t="s">
        <v>2556</v>
      </c>
      <c r="C1116" s="14" t="s">
        <v>2557</v>
      </c>
      <c r="D1116" s="15" t="n">
        <v>6</v>
      </c>
      <c r="E1116" s="27" t="n">
        <f aca="false">F1116/2</f>
        <v>1800</v>
      </c>
      <c r="F1116" s="16" t="n">
        <v>3600</v>
      </c>
      <c r="G1116" s="15" t="s">
        <v>36</v>
      </c>
      <c r="H1116" s="17" t="s">
        <v>25</v>
      </c>
      <c r="I1116" s="18" t="s">
        <v>26</v>
      </c>
      <c r="J1116" s="15" t="n">
        <v>2020</v>
      </c>
      <c r="K1116" s="19" t="s">
        <v>27</v>
      </c>
      <c r="L1116" s="15" t="s">
        <v>28</v>
      </c>
      <c r="M1116" s="15" t="s">
        <v>33</v>
      </c>
      <c r="N1116" s="20" t="s">
        <v>270</v>
      </c>
      <c r="O1116" s="15"/>
      <c r="P1116" s="15"/>
      <c r="Q1116" s="21"/>
      <c r="R1116" s="21"/>
      <c r="S1116" s="21"/>
      <c r="T1116" s="28"/>
      <c r="U1116" s="34"/>
    </row>
    <row r="1117" s="25" customFormat="true" ht="41.4" hidden="false" customHeight="false" outlineLevel="0" collapsed="false">
      <c r="A1117" s="36" t="s">
        <v>2558</v>
      </c>
      <c r="B1117" s="26" t="s">
        <v>2559</v>
      </c>
      <c r="C1117" s="14" t="s">
        <v>246</v>
      </c>
      <c r="D1117" s="15" t="n">
        <v>12</v>
      </c>
      <c r="E1117" s="27" t="n">
        <f aca="false">F1117/2</f>
        <v>22234.5</v>
      </c>
      <c r="F1117" s="38" t="n">
        <v>44469</v>
      </c>
      <c r="G1117" s="15" t="s">
        <v>36</v>
      </c>
      <c r="H1117" s="17" t="s">
        <v>25</v>
      </c>
      <c r="I1117" s="18" t="s">
        <v>26</v>
      </c>
      <c r="J1117" s="15" t="n">
        <v>2017</v>
      </c>
      <c r="K1117" s="19" t="s">
        <v>27</v>
      </c>
      <c r="L1117" s="15" t="s">
        <v>28</v>
      </c>
      <c r="M1117" s="15" t="s">
        <v>33</v>
      </c>
      <c r="N1117" s="20"/>
      <c r="O1117" s="15"/>
      <c r="P1117" s="15"/>
      <c r="Q1117" s="21" t="s">
        <v>247</v>
      </c>
      <c r="R1117" s="21"/>
      <c r="S1117" s="21"/>
      <c r="T1117" s="31" t="n">
        <v>45882</v>
      </c>
      <c r="U1117" s="24"/>
    </row>
    <row r="1118" s="25" customFormat="true" ht="41.4" hidden="false" customHeight="false" outlineLevel="0" collapsed="false">
      <c r="A1118" s="36" t="s">
        <v>2560</v>
      </c>
      <c r="B1118" s="26"/>
      <c r="C1118" s="14" t="s">
        <v>81</v>
      </c>
      <c r="D1118" s="15" t="n">
        <v>4</v>
      </c>
      <c r="E1118" s="16" t="n">
        <f aca="false">F1118/2</f>
        <v>50</v>
      </c>
      <c r="F1118" s="16" t="n">
        <v>100</v>
      </c>
      <c r="G1118" s="15" t="s">
        <v>36</v>
      </c>
      <c r="H1118" s="17" t="s">
        <v>25</v>
      </c>
      <c r="I1118" s="18" t="s">
        <v>26</v>
      </c>
      <c r="J1118" s="15" t="n">
        <v>2024</v>
      </c>
      <c r="K1118" s="19" t="s">
        <v>27</v>
      </c>
      <c r="L1118" s="15" t="s">
        <v>82</v>
      </c>
      <c r="M1118" s="15" t="s">
        <v>33</v>
      </c>
      <c r="N1118" s="17" t="s">
        <v>83</v>
      </c>
      <c r="O1118" s="15"/>
      <c r="P1118" s="15"/>
      <c r="Q1118" s="21"/>
      <c r="R1118" s="21"/>
      <c r="S1118" s="21"/>
      <c r="T1118" s="28"/>
      <c r="U1118" s="24"/>
    </row>
    <row r="1119" s="25" customFormat="true" ht="41.4" hidden="false" customHeight="false" outlineLevel="0" collapsed="false">
      <c r="A1119" s="36" t="s">
        <v>2561</v>
      </c>
      <c r="B1119" s="26" t="s">
        <v>2562</v>
      </c>
      <c r="C1119" s="14" t="s">
        <v>122</v>
      </c>
      <c r="D1119" s="15" t="n">
        <v>12</v>
      </c>
      <c r="E1119" s="27" t="n">
        <v>23628</v>
      </c>
      <c r="F1119" s="16" t="n">
        <v>39204</v>
      </c>
      <c r="G1119" s="15" t="s">
        <v>36</v>
      </c>
      <c r="H1119" s="17" t="s">
        <v>25</v>
      </c>
      <c r="I1119" s="18" t="s">
        <v>26</v>
      </c>
      <c r="J1119" s="15" t="n">
        <v>2017</v>
      </c>
      <c r="K1119" s="19" t="s">
        <v>27</v>
      </c>
      <c r="L1119" s="15" t="s">
        <v>28</v>
      </c>
      <c r="M1119" s="15" t="s">
        <v>33</v>
      </c>
      <c r="N1119" s="17" t="s">
        <v>257</v>
      </c>
      <c r="O1119" s="15"/>
      <c r="P1119" s="15"/>
      <c r="Q1119" s="21" t="s">
        <v>78</v>
      </c>
      <c r="R1119" s="21"/>
      <c r="S1119" s="21"/>
      <c r="T1119" s="28"/>
      <c r="U1119" s="24"/>
    </row>
    <row r="1120" s="25" customFormat="true" ht="41.4" hidden="false" customHeight="false" outlineLevel="0" collapsed="false">
      <c r="A1120" s="36" t="s">
        <v>2563</v>
      </c>
      <c r="B1120" s="26" t="s">
        <v>2564</v>
      </c>
      <c r="C1120" s="14" t="s">
        <v>2565</v>
      </c>
      <c r="D1120" s="15" t="n">
        <v>4</v>
      </c>
      <c r="E1120" s="27" t="n">
        <f aca="false">F1120/2</f>
        <v>2600</v>
      </c>
      <c r="F1120" s="16" t="n">
        <v>5200</v>
      </c>
      <c r="G1120" s="15" t="s">
        <v>36</v>
      </c>
      <c r="H1120" s="17" t="s">
        <v>25</v>
      </c>
      <c r="I1120" s="18" t="s">
        <v>26</v>
      </c>
      <c r="J1120" s="15" t="n">
        <v>2017</v>
      </c>
      <c r="K1120" s="19" t="s">
        <v>27</v>
      </c>
      <c r="L1120" s="15" t="s">
        <v>28</v>
      </c>
      <c r="M1120" s="15" t="s">
        <v>33</v>
      </c>
      <c r="N1120" s="17" t="s">
        <v>431</v>
      </c>
      <c r="O1120" s="15" t="s">
        <v>46</v>
      </c>
      <c r="P1120" s="15"/>
      <c r="Q1120" s="21" t="s">
        <v>78</v>
      </c>
      <c r="R1120" s="21"/>
      <c r="S1120" s="21"/>
      <c r="T1120" s="28"/>
      <c r="U1120" s="24"/>
    </row>
    <row r="1121" s="25" customFormat="true" ht="41.4" hidden="false" customHeight="false" outlineLevel="0" collapsed="false">
      <c r="A1121" s="36" t="s">
        <v>2566</v>
      </c>
      <c r="B1121" s="26"/>
      <c r="C1121" s="14" t="s">
        <v>122</v>
      </c>
      <c r="D1121" s="15" t="n">
        <v>12</v>
      </c>
      <c r="E1121" s="27" t="n">
        <v>14190</v>
      </c>
      <c r="F1121" s="16" t="n">
        <v>28380</v>
      </c>
      <c r="G1121" s="15" t="s">
        <v>36</v>
      </c>
      <c r="H1121" s="17" t="s">
        <v>25</v>
      </c>
      <c r="I1121" s="18" t="s">
        <v>26</v>
      </c>
      <c r="J1121" s="15" t="n">
        <v>2025</v>
      </c>
      <c r="K1121" s="19" t="s">
        <v>27</v>
      </c>
      <c r="L1121" s="15" t="s">
        <v>28</v>
      </c>
      <c r="M1121" s="15" t="s">
        <v>33</v>
      </c>
      <c r="N1121" s="17"/>
      <c r="O1121" s="15"/>
      <c r="P1121" s="15"/>
      <c r="Q1121" s="21"/>
      <c r="R1121" s="21"/>
      <c r="S1121" s="21"/>
      <c r="T1121" s="28"/>
      <c r="U1121" s="24"/>
    </row>
    <row r="1122" s="25" customFormat="true" ht="41.4" hidden="false" customHeight="false" outlineLevel="0" collapsed="false">
      <c r="A1122" s="36" t="s">
        <v>2567</v>
      </c>
      <c r="B1122" s="26" t="s">
        <v>2568</v>
      </c>
      <c r="C1122" s="14" t="s">
        <v>1196</v>
      </c>
      <c r="D1122" s="15" t="n">
        <v>12</v>
      </c>
      <c r="E1122" s="27" t="n">
        <f aca="false">F1122/2</f>
        <v>3514</v>
      </c>
      <c r="F1122" s="16" t="n">
        <v>7028</v>
      </c>
      <c r="G1122" s="15" t="s">
        <v>36</v>
      </c>
      <c r="H1122" s="17" t="s">
        <v>25</v>
      </c>
      <c r="I1122" s="18" t="s">
        <v>26</v>
      </c>
      <c r="J1122" s="15" t="n">
        <v>2020</v>
      </c>
      <c r="K1122" s="19" t="s">
        <v>27</v>
      </c>
      <c r="L1122" s="15" t="s">
        <v>28</v>
      </c>
      <c r="M1122" s="15" t="s">
        <v>33</v>
      </c>
      <c r="N1122" s="20" t="s">
        <v>431</v>
      </c>
      <c r="O1122" s="15"/>
      <c r="P1122" s="15"/>
      <c r="Q1122" s="21" t="s">
        <v>78</v>
      </c>
      <c r="R1122" s="21"/>
      <c r="S1122" s="21"/>
      <c r="T1122" s="31" t="n">
        <v>45846</v>
      </c>
      <c r="U1122" s="34"/>
    </row>
    <row r="1123" s="25" customFormat="true" ht="41.4" hidden="false" customHeight="false" outlineLevel="0" collapsed="false">
      <c r="A1123" s="36" t="s">
        <v>2569</v>
      </c>
      <c r="B1123" s="26"/>
      <c r="C1123" s="14" t="s">
        <v>122</v>
      </c>
      <c r="D1123" s="15" t="n">
        <v>12</v>
      </c>
      <c r="E1123" s="27" t="n">
        <v>23628</v>
      </c>
      <c r="F1123" s="16" t="n">
        <v>39204</v>
      </c>
      <c r="G1123" s="15" t="s">
        <v>36</v>
      </c>
      <c r="H1123" s="17" t="s">
        <v>25</v>
      </c>
      <c r="I1123" s="18" t="s">
        <v>26</v>
      </c>
      <c r="J1123" s="15" t="n">
        <v>2017</v>
      </c>
      <c r="K1123" s="19" t="s">
        <v>27</v>
      </c>
      <c r="L1123" s="15" t="s">
        <v>28</v>
      </c>
      <c r="M1123" s="15" t="s">
        <v>33</v>
      </c>
      <c r="N1123" s="17" t="s">
        <v>431</v>
      </c>
      <c r="O1123" s="15"/>
      <c r="P1123" s="15"/>
      <c r="Q1123" s="21" t="s">
        <v>78</v>
      </c>
      <c r="R1123" s="21"/>
      <c r="S1123" s="21"/>
      <c r="T1123" s="28"/>
      <c r="U1123" s="24"/>
    </row>
    <row r="1124" s="25" customFormat="true" ht="41.4" hidden="false" customHeight="false" outlineLevel="0" collapsed="false">
      <c r="A1124" s="36" t="s">
        <v>2570</v>
      </c>
      <c r="B1124" s="26" t="s">
        <v>2571</v>
      </c>
      <c r="C1124" s="14"/>
      <c r="D1124" s="15" t="n">
        <v>12</v>
      </c>
      <c r="E1124" s="27" t="n">
        <f aca="false">F1124/2</f>
        <v>5616</v>
      </c>
      <c r="F1124" s="16" t="n">
        <f aca="false">9360*1.2</f>
        <v>11232</v>
      </c>
      <c r="G1124" s="15" t="s">
        <v>36</v>
      </c>
      <c r="H1124" s="17" t="s">
        <v>25</v>
      </c>
      <c r="I1124" s="18" t="s">
        <v>26</v>
      </c>
      <c r="J1124" s="15" t="n">
        <v>2017</v>
      </c>
      <c r="K1124" s="19" t="s">
        <v>27</v>
      </c>
      <c r="L1124" s="15" t="s">
        <v>28</v>
      </c>
      <c r="M1124" s="15" t="s">
        <v>33</v>
      </c>
      <c r="N1124" s="17" t="s">
        <v>431</v>
      </c>
      <c r="O1124" s="15"/>
      <c r="P1124" s="15"/>
      <c r="Q1124" s="21" t="s">
        <v>78</v>
      </c>
      <c r="R1124" s="21"/>
      <c r="S1124" s="21"/>
      <c r="T1124" s="28"/>
      <c r="U1124" s="24"/>
    </row>
    <row r="1125" s="25" customFormat="true" ht="41.4" hidden="false" customHeight="false" outlineLevel="0" collapsed="false">
      <c r="A1125" s="36" t="s">
        <v>2572</v>
      </c>
      <c r="B1125" s="26" t="s">
        <v>2573</v>
      </c>
      <c r="C1125" s="14"/>
      <c r="D1125" s="15" t="n">
        <v>52</v>
      </c>
      <c r="E1125" s="27" t="n">
        <f aca="false">F1125/2</f>
        <v>660</v>
      </c>
      <c r="F1125" s="16" t="n">
        <v>1320</v>
      </c>
      <c r="G1125" s="15" t="s">
        <v>36</v>
      </c>
      <c r="H1125" s="17" t="s">
        <v>25</v>
      </c>
      <c r="I1125" s="18" t="s">
        <v>26</v>
      </c>
      <c r="J1125" s="15" t="n">
        <v>2015</v>
      </c>
      <c r="K1125" s="19" t="s">
        <v>27</v>
      </c>
      <c r="L1125" s="15" t="s">
        <v>28</v>
      </c>
      <c r="M1125" s="15" t="s">
        <v>33</v>
      </c>
      <c r="N1125" s="17"/>
      <c r="O1125" s="15"/>
      <c r="P1125" s="15"/>
      <c r="Q1125" s="21" t="s">
        <v>47</v>
      </c>
      <c r="R1125" s="21"/>
      <c r="S1125" s="21"/>
      <c r="T1125" s="28"/>
      <c r="U1125" s="24" t="s">
        <v>2574</v>
      </c>
    </row>
    <row r="1126" s="25" customFormat="true" ht="41.4" hidden="false" customHeight="false" outlineLevel="0" collapsed="false">
      <c r="A1126" s="36" t="s">
        <v>2575</v>
      </c>
      <c r="B1126" s="26"/>
      <c r="C1126" s="14" t="s">
        <v>144</v>
      </c>
      <c r="D1126" s="15" t="n">
        <v>4</v>
      </c>
      <c r="E1126" s="16" t="n">
        <f aca="false">F1126/2</f>
        <v>50</v>
      </c>
      <c r="F1126" s="16" t="n">
        <v>100</v>
      </c>
      <c r="G1126" s="15" t="s">
        <v>36</v>
      </c>
      <c r="H1126" s="17" t="s">
        <v>25</v>
      </c>
      <c r="I1126" s="18" t="s">
        <v>26</v>
      </c>
      <c r="J1126" s="15" t="n">
        <v>2025</v>
      </c>
      <c r="K1126" s="19" t="s">
        <v>145</v>
      </c>
      <c r="L1126" s="15" t="s">
        <v>28</v>
      </c>
      <c r="M1126" s="15" t="s">
        <v>33</v>
      </c>
      <c r="N1126" s="17"/>
      <c r="O1126" s="15"/>
      <c r="P1126" s="15"/>
      <c r="Q1126" s="21"/>
      <c r="R1126" s="21"/>
      <c r="S1126" s="21" t="s">
        <v>113</v>
      </c>
      <c r="T1126" s="31" t="n">
        <v>45880</v>
      </c>
      <c r="U1126" s="24"/>
    </row>
    <row r="1127" s="25" customFormat="true" ht="41.4" hidden="false" customHeight="false" outlineLevel="0" collapsed="false">
      <c r="A1127" s="36" t="s">
        <v>2576</v>
      </c>
      <c r="B1127" s="26" t="s">
        <v>2577</v>
      </c>
      <c r="C1127" s="14" t="s">
        <v>192</v>
      </c>
      <c r="D1127" s="15" t="n">
        <v>4</v>
      </c>
      <c r="E1127" s="27" t="n">
        <f aca="false">F1127/2</f>
        <v>900</v>
      </c>
      <c r="F1127" s="16" t="n">
        <v>1800</v>
      </c>
      <c r="G1127" s="15" t="s">
        <v>36</v>
      </c>
      <c r="H1127" s="17" t="s">
        <v>25</v>
      </c>
      <c r="I1127" s="18" t="s">
        <v>26</v>
      </c>
      <c r="J1127" s="15" t="n">
        <v>2017</v>
      </c>
      <c r="K1127" s="19" t="s">
        <v>27</v>
      </c>
      <c r="L1127" s="15" t="s">
        <v>28</v>
      </c>
      <c r="M1127" s="15" t="s">
        <v>33</v>
      </c>
      <c r="N1127" s="17" t="s">
        <v>160</v>
      </c>
      <c r="O1127" s="15"/>
      <c r="P1127" s="15"/>
      <c r="Q1127" s="21"/>
      <c r="R1127" s="21"/>
      <c r="S1127" s="21"/>
      <c r="T1127" s="28"/>
      <c r="U1127" s="24"/>
    </row>
    <row r="1128" s="25" customFormat="true" ht="41.4" hidden="false" customHeight="false" outlineLevel="0" collapsed="false">
      <c r="A1128" s="36" t="s">
        <v>2578</v>
      </c>
      <c r="B1128" s="26" t="s">
        <v>2579</v>
      </c>
      <c r="C1128" s="14" t="s">
        <v>2580</v>
      </c>
      <c r="D1128" s="15" t="n">
        <v>4</v>
      </c>
      <c r="E1128" s="27" t="n">
        <v>7000</v>
      </c>
      <c r="F1128" s="16" t="n">
        <v>12000</v>
      </c>
      <c r="G1128" s="15" t="s">
        <v>36</v>
      </c>
      <c r="H1128" s="17" t="s">
        <v>25</v>
      </c>
      <c r="I1128" s="18" t="s">
        <v>26</v>
      </c>
      <c r="J1128" s="15" t="n">
        <v>2017</v>
      </c>
      <c r="K1128" s="19" t="s">
        <v>1325</v>
      </c>
      <c r="L1128" s="15" t="s">
        <v>28</v>
      </c>
      <c r="M1128" s="15" t="s">
        <v>33</v>
      </c>
      <c r="N1128" s="17" t="s">
        <v>126</v>
      </c>
      <c r="O1128" s="15"/>
      <c r="P1128" s="15"/>
      <c r="Q1128" s="21"/>
      <c r="R1128" s="21"/>
      <c r="S1128" s="21"/>
      <c r="T1128" s="28"/>
      <c r="U1128" s="24"/>
    </row>
    <row r="1129" s="25" customFormat="true" ht="41.4" hidden="false" customHeight="false" outlineLevel="0" collapsed="false">
      <c r="A1129" s="36" t="s">
        <v>2581</v>
      </c>
      <c r="B1129" s="26" t="s">
        <v>2582</v>
      </c>
      <c r="C1129" s="14" t="s">
        <v>2583</v>
      </c>
      <c r="D1129" s="15" t="n">
        <v>6</v>
      </c>
      <c r="E1129" s="27" t="n">
        <f aca="false">F1129/2</f>
        <v>3250</v>
      </c>
      <c r="F1129" s="16" t="n">
        <v>6500</v>
      </c>
      <c r="G1129" s="15" t="s">
        <v>24</v>
      </c>
      <c r="H1129" s="17" t="s">
        <v>25</v>
      </c>
      <c r="I1129" s="18" t="s">
        <v>26</v>
      </c>
      <c r="J1129" s="15" t="n">
        <v>2000</v>
      </c>
      <c r="K1129" s="19" t="s">
        <v>27</v>
      </c>
      <c r="L1129" s="15" t="s">
        <v>28</v>
      </c>
      <c r="M1129" s="15" t="s">
        <v>33</v>
      </c>
      <c r="N1129" s="17"/>
      <c r="O1129" s="15"/>
      <c r="P1129" s="15"/>
      <c r="Q1129" s="21" t="s">
        <v>47</v>
      </c>
      <c r="R1129" s="21"/>
      <c r="S1129" s="21"/>
      <c r="T1129" s="28"/>
      <c r="U1129" s="24" t="s">
        <v>2584</v>
      </c>
    </row>
    <row r="1130" s="25" customFormat="true" ht="41.4" hidden="false" customHeight="false" outlineLevel="0" collapsed="false">
      <c r="A1130" s="36" t="s">
        <v>2585</v>
      </c>
      <c r="B1130" s="26" t="s">
        <v>2586</v>
      </c>
      <c r="C1130" s="14"/>
      <c r="D1130" s="15" t="n">
        <v>4</v>
      </c>
      <c r="E1130" s="27" t="n">
        <f aca="false">F1130/2</f>
        <v>100</v>
      </c>
      <c r="F1130" s="16" t="n">
        <f aca="false">4*50</f>
        <v>200</v>
      </c>
      <c r="G1130" s="15" t="s">
        <v>354</v>
      </c>
      <c r="H1130" s="17" t="s">
        <v>25</v>
      </c>
      <c r="I1130" s="18" t="s">
        <v>26</v>
      </c>
      <c r="J1130" s="15" t="n">
        <v>2012</v>
      </c>
      <c r="K1130" s="19" t="s">
        <v>52</v>
      </c>
      <c r="L1130" s="15" t="s">
        <v>28</v>
      </c>
      <c r="M1130" s="15" t="s">
        <v>33</v>
      </c>
      <c r="N1130" s="17"/>
      <c r="O1130" s="15"/>
      <c r="P1130" s="15"/>
      <c r="Q1130" s="21" t="s">
        <v>1972</v>
      </c>
      <c r="R1130" s="21"/>
      <c r="S1130" s="21"/>
      <c r="T1130" s="28"/>
      <c r="U1130" s="24"/>
    </row>
    <row r="1131" s="25" customFormat="true" ht="41.4" hidden="false" customHeight="false" outlineLevel="0" collapsed="false">
      <c r="A1131" s="36" t="s">
        <v>2587</v>
      </c>
      <c r="B1131" s="26" t="s">
        <v>2588</v>
      </c>
      <c r="C1131" s="14" t="s">
        <v>197</v>
      </c>
      <c r="D1131" s="15" t="n">
        <v>4</v>
      </c>
      <c r="E1131" s="27" t="n">
        <f aca="false">F1131/2</f>
        <v>750</v>
      </c>
      <c r="F1131" s="16" t="n">
        <v>1500</v>
      </c>
      <c r="G1131" s="15" t="s">
        <v>36</v>
      </c>
      <c r="H1131" s="17" t="s">
        <v>25</v>
      </c>
      <c r="I1131" s="18" t="s">
        <v>26</v>
      </c>
      <c r="J1131" s="15" t="n">
        <v>2020</v>
      </c>
      <c r="K1131" s="19" t="s">
        <v>27</v>
      </c>
      <c r="L1131" s="15" t="s">
        <v>28</v>
      </c>
      <c r="M1131" s="15" t="s">
        <v>33</v>
      </c>
      <c r="N1131" s="20"/>
      <c r="O1131" s="15"/>
      <c r="P1131" s="15"/>
      <c r="Q1131" s="21"/>
      <c r="R1131" s="21"/>
      <c r="S1131" s="21"/>
      <c r="T1131" s="28"/>
      <c r="U1131" s="34"/>
    </row>
    <row r="1132" s="25" customFormat="true" ht="41.4" hidden="false" customHeight="false" outlineLevel="0" collapsed="false">
      <c r="A1132" s="36" t="s">
        <v>2589</v>
      </c>
      <c r="B1132" s="26" t="s">
        <v>2590</v>
      </c>
      <c r="C1132" s="14" t="s">
        <v>64</v>
      </c>
      <c r="D1132" s="15" t="n">
        <v>4</v>
      </c>
      <c r="E1132" s="27" t="n">
        <f aca="false">F1132/2</f>
        <v>720</v>
      </c>
      <c r="F1132" s="16" t="n">
        <v>1440</v>
      </c>
      <c r="G1132" s="15" t="s">
        <v>36</v>
      </c>
      <c r="H1132" s="17" t="s">
        <v>25</v>
      </c>
      <c r="I1132" s="18" t="s">
        <v>26</v>
      </c>
      <c r="J1132" s="15" t="n">
        <v>2020</v>
      </c>
      <c r="K1132" s="19" t="s">
        <v>65</v>
      </c>
      <c r="L1132" s="15" t="s">
        <v>28</v>
      </c>
      <c r="M1132" s="15" t="s">
        <v>33</v>
      </c>
      <c r="N1132" s="17"/>
      <c r="O1132" s="15"/>
      <c r="P1132" s="15"/>
      <c r="Q1132" s="21"/>
      <c r="R1132" s="21"/>
      <c r="S1132" s="21"/>
      <c r="T1132" s="28"/>
      <c r="U1132" s="34"/>
    </row>
    <row r="1133" s="25" customFormat="true" ht="72" hidden="false" customHeight="false" outlineLevel="0" collapsed="false">
      <c r="A1133" s="36" t="s">
        <v>2591</v>
      </c>
      <c r="B1133" s="26"/>
      <c r="C1133" s="14" t="s">
        <v>1048</v>
      </c>
      <c r="D1133" s="15" t="n">
        <v>12</v>
      </c>
      <c r="E1133" s="27" t="n">
        <v>8240</v>
      </c>
      <c r="F1133" s="16" t="n">
        <f aca="false">E1133*2</f>
        <v>16480</v>
      </c>
      <c r="G1133" s="15" t="s">
        <v>36</v>
      </c>
      <c r="H1133" s="17" t="s">
        <v>25</v>
      </c>
      <c r="I1133" s="18" t="s">
        <v>26</v>
      </c>
      <c r="J1133" s="15" t="n">
        <v>2021</v>
      </c>
      <c r="K1133" s="19" t="s">
        <v>27</v>
      </c>
      <c r="L1133" s="15" t="s">
        <v>28</v>
      </c>
      <c r="M1133" s="15" t="s">
        <v>33</v>
      </c>
      <c r="N1133" s="20" t="s">
        <v>45</v>
      </c>
      <c r="O1133" s="15"/>
      <c r="P1133" s="15"/>
      <c r="Q1133" s="21"/>
      <c r="R1133" s="21"/>
      <c r="S1133" s="21"/>
      <c r="T1133" s="31" t="n">
        <v>45897</v>
      </c>
      <c r="U1133" s="24"/>
    </row>
    <row r="1134" s="25" customFormat="true" ht="41.4" hidden="false" customHeight="false" outlineLevel="0" collapsed="false">
      <c r="A1134" s="36" t="s">
        <v>2592</v>
      </c>
      <c r="B1134" s="26" t="s">
        <v>2593</v>
      </c>
      <c r="C1134" s="14"/>
      <c r="D1134" s="15" t="n">
        <v>6</v>
      </c>
      <c r="E1134" s="27" t="n">
        <f aca="false">F1134/2</f>
        <v>210</v>
      </c>
      <c r="F1134" s="16" t="n">
        <v>420</v>
      </c>
      <c r="G1134" s="15" t="s">
        <v>36</v>
      </c>
      <c r="H1134" s="17" t="s">
        <v>25</v>
      </c>
      <c r="I1134" s="18" t="s">
        <v>26</v>
      </c>
      <c r="J1134" s="15" t="n">
        <v>2017</v>
      </c>
      <c r="K1134" s="19" t="s">
        <v>27</v>
      </c>
      <c r="L1134" s="15" t="s">
        <v>28</v>
      </c>
      <c r="M1134" s="15" t="s">
        <v>33</v>
      </c>
      <c r="N1134" s="17"/>
      <c r="O1134" s="15"/>
      <c r="P1134" s="15"/>
      <c r="Q1134" s="21"/>
      <c r="R1134" s="21"/>
      <c r="S1134" s="21"/>
      <c r="T1134" s="28"/>
      <c r="U1134" s="24"/>
    </row>
    <row r="1135" customFormat="false" ht="41.4" hidden="false" customHeight="false" outlineLevel="0" collapsed="false">
      <c r="A1135" s="36" t="s">
        <v>2594</v>
      </c>
      <c r="B1135" s="26" t="s">
        <v>2595</v>
      </c>
      <c r="C1135" s="14" t="s">
        <v>171</v>
      </c>
      <c r="D1135" s="15" t="n">
        <v>52</v>
      </c>
      <c r="E1135" s="27" t="n">
        <f aca="false">F1135/2</f>
        <v>810.5</v>
      </c>
      <c r="F1135" s="16" t="n">
        <v>1621</v>
      </c>
      <c r="G1135" s="15" t="s">
        <v>36</v>
      </c>
      <c r="H1135" s="17" t="s">
        <v>25</v>
      </c>
      <c r="I1135" s="18" t="s">
        <v>26</v>
      </c>
      <c r="J1135" s="15" t="n">
        <v>2014</v>
      </c>
      <c r="K1135" s="19" t="s">
        <v>27</v>
      </c>
      <c r="L1135" s="15" t="s">
        <v>28</v>
      </c>
      <c r="M1135" s="15" t="s">
        <v>33</v>
      </c>
      <c r="N1135" s="20" t="s">
        <v>214</v>
      </c>
      <c r="O1135" s="15"/>
      <c r="P1135" s="15"/>
      <c r="Q1135" s="21"/>
      <c r="R1135" s="21"/>
      <c r="S1135" s="21"/>
      <c r="T1135" s="28"/>
      <c r="U1135" s="34"/>
      <c r="V1135" s="25"/>
      <c r="W1135" s="25"/>
    </row>
    <row r="1136" customFormat="false" ht="41.4" hidden="false" customHeight="false" outlineLevel="0" collapsed="false">
      <c r="A1136" s="36" t="s">
        <v>2596</v>
      </c>
      <c r="B1136" s="26"/>
      <c r="C1136" s="14" t="s">
        <v>1149</v>
      </c>
      <c r="D1136" s="15" t="n">
        <v>4</v>
      </c>
      <c r="E1136" s="27" t="n">
        <f aca="false">F1136/2</f>
        <v>3900</v>
      </c>
      <c r="F1136" s="16" t="n">
        <f aca="false">6500*1.2</f>
        <v>7800</v>
      </c>
      <c r="G1136" s="15" t="s">
        <v>36</v>
      </c>
      <c r="H1136" s="17" t="s">
        <v>25</v>
      </c>
      <c r="I1136" s="18" t="s">
        <v>26</v>
      </c>
      <c r="J1136" s="15" t="n">
        <v>2024</v>
      </c>
      <c r="K1136" s="19" t="s">
        <v>65</v>
      </c>
      <c r="L1136" s="15" t="s">
        <v>28</v>
      </c>
      <c r="M1136" s="15" t="s">
        <v>33</v>
      </c>
      <c r="N1136" s="17"/>
      <c r="O1136" s="15"/>
      <c r="P1136" s="15"/>
      <c r="Q1136" s="21" t="s">
        <v>78</v>
      </c>
      <c r="R1136" s="21"/>
      <c r="S1136" s="21" t="s">
        <v>18</v>
      </c>
      <c r="T1136" s="28"/>
      <c r="U1136" s="34"/>
      <c r="V1136" s="25"/>
      <c r="W1136" s="25"/>
    </row>
    <row r="1137" customFormat="false" ht="41.4" hidden="false" customHeight="false" outlineLevel="0" collapsed="false">
      <c r="A1137" s="36" t="s">
        <v>2597</v>
      </c>
      <c r="B1137" s="26"/>
      <c r="C1137" s="14" t="s">
        <v>197</v>
      </c>
      <c r="D1137" s="15" t="n">
        <v>4</v>
      </c>
      <c r="E1137" s="16" t="n">
        <f aca="false">F1137/2</f>
        <v>625</v>
      </c>
      <c r="F1137" s="16" t="n">
        <v>1250</v>
      </c>
      <c r="G1137" s="15" t="s">
        <v>36</v>
      </c>
      <c r="H1137" s="17" t="s">
        <v>25</v>
      </c>
      <c r="I1137" s="18" t="s">
        <v>26</v>
      </c>
      <c r="J1137" s="15" t="n">
        <v>2025</v>
      </c>
      <c r="K1137" s="19" t="s">
        <v>27</v>
      </c>
      <c r="L1137" s="15" t="s">
        <v>28</v>
      </c>
      <c r="M1137" s="15" t="s">
        <v>33</v>
      </c>
      <c r="N1137" s="17"/>
      <c r="O1137" s="15"/>
      <c r="P1137" s="15"/>
      <c r="Q1137" s="21"/>
      <c r="R1137" s="21"/>
      <c r="S1137" s="21"/>
      <c r="T1137" s="28"/>
      <c r="U1137" s="24"/>
      <c r="V1137" s="25"/>
      <c r="W1137" s="25"/>
    </row>
    <row r="1138" customFormat="false" ht="41.4" hidden="false" customHeight="false" outlineLevel="0" collapsed="false">
      <c r="A1138" s="36" t="s">
        <v>2598</v>
      </c>
      <c r="B1138" s="26" t="s">
        <v>2599</v>
      </c>
      <c r="C1138" s="14" t="s">
        <v>246</v>
      </c>
      <c r="D1138" s="15" t="n">
        <v>12</v>
      </c>
      <c r="E1138" s="27" t="n">
        <f aca="false">F1138/2</f>
        <v>23965</v>
      </c>
      <c r="F1138" s="38" t="n">
        <v>47930</v>
      </c>
      <c r="G1138" s="15" t="s">
        <v>36</v>
      </c>
      <c r="H1138" s="17" t="s">
        <v>25</v>
      </c>
      <c r="I1138" s="18" t="s">
        <v>26</v>
      </c>
      <c r="J1138" s="15" t="n">
        <v>2017</v>
      </c>
      <c r="K1138" s="19" t="s">
        <v>27</v>
      </c>
      <c r="L1138" s="15" t="s">
        <v>28</v>
      </c>
      <c r="M1138" s="15" t="s">
        <v>33</v>
      </c>
      <c r="N1138" s="20"/>
      <c r="O1138" s="15"/>
      <c r="P1138" s="15"/>
      <c r="Q1138" s="21" t="s">
        <v>247</v>
      </c>
      <c r="R1138" s="21"/>
      <c r="S1138" s="21"/>
      <c r="T1138" s="31" t="n">
        <v>45882</v>
      </c>
      <c r="U1138" s="24" t="s">
        <v>248</v>
      </c>
      <c r="V1138" s="25"/>
      <c r="W1138" s="25"/>
    </row>
    <row r="1139" customFormat="false" ht="41.4" hidden="false" customHeight="false" outlineLevel="0" collapsed="false">
      <c r="A1139" s="36" t="s">
        <v>2600</v>
      </c>
      <c r="B1139" s="26" t="s">
        <v>2601</v>
      </c>
      <c r="C1139" s="14"/>
      <c r="D1139" s="15" t="n">
        <v>144</v>
      </c>
      <c r="E1139" s="27" t="n">
        <f aca="false">F1139/2</f>
        <v>250</v>
      </c>
      <c r="F1139" s="16" t="n">
        <v>500</v>
      </c>
      <c r="G1139" s="15" t="s">
        <v>354</v>
      </c>
      <c r="H1139" s="17" t="s">
        <v>25</v>
      </c>
      <c r="I1139" s="18" t="s">
        <v>26</v>
      </c>
      <c r="J1139" s="15" t="n">
        <v>2003</v>
      </c>
      <c r="K1139" s="19" t="s">
        <v>27</v>
      </c>
      <c r="L1139" s="15" t="s">
        <v>103</v>
      </c>
      <c r="M1139" s="15" t="s">
        <v>33</v>
      </c>
      <c r="N1139" s="17" t="s">
        <v>343</v>
      </c>
      <c r="O1139" s="15"/>
      <c r="P1139" s="15"/>
      <c r="Q1139" s="21" t="s">
        <v>344</v>
      </c>
      <c r="R1139" s="21"/>
      <c r="S1139" s="21"/>
      <c r="T1139" s="28"/>
      <c r="U1139" s="24" t="s">
        <v>2602</v>
      </c>
      <c r="V1139" s="25"/>
      <c r="W1139" s="25"/>
    </row>
    <row r="1140" customFormat="false" ht="41.4" hidden="false" customHeight="false" outlineLevel="0" collapsed="false">
      <c r="A1140" s="36" t="s">
        <v>2603</v>
      </c>
      <c r="B1140" s="26" t="s">
        <v>2604</v>
      </c>
      <c r="C1140" s="14" t="s">
        <v>1671</v>
      </c>
      <c r="D1140" s="15" t="n">
        <v>12</v>
      </c>
      <c r="E1140" s="27" t="n">
        <f aca="false">F1140/2</f>
        <v>3600</v>
      </c>
      <c r="F1140" s="16" t="n">
        <v>7200</v>
      </c>
      <c r="G1140" s="15" t="s">
        <v>36</v>
      </c>
      <c r="H1140" s="17" t="s">
        <v>25</v>
      </c>
      <c r="I1140" s="18" t="s">
        <v>26</v>
      </c>
      <c r="J1140" s="15" t="n">
        <v>2022</v>
      </c>
      <c r="K1140" s="19" t="s">
        <v>27</v>
      </c>
      <c r="L1140" s="15" t="s">
        <v>28</v>
      </c>
      <c r="M1140" s="15" t="s">
        <v>33</v>
      </c>
      <c r="N1140" s="20" t="s">
        <v>45</v>
      </c>
      <c r="O1140" s="15"/>
      <c r="P1140" s="15"/>
      <c r="Q1140" s="21"/>
      <c r="R1140" s="21"/>
      <c r="S1140" s="21"/>
      <c r="T1140" s="28"/>
      <c r="U1140" s="34"/>
      <c r="V1140" s="25"/>
      <c r="W1140" s="25"/>
    </row>
    <row r="1141" customFormat="false" ht="41.4" hidden="false" customHeight="false" outlineLevel="0" collapsed="false">
      <c r="A1141" s="36" t="s">
        <v>2605</v>
      </c>
      <c r="B1141" s="26" t="s">
        <v>2606</v>
      </c>
      <c r="C1141" s="14" t="s">
        <v>640</v>
      </c>
      <c r="D1141" s="15" t="n">
        <v>4</v>
      </c>
      <c r="E1141" s="27" t="n">
        <f aca="false">F1141/2</f>
        <v>50</v>
      </c>
      <c r="F1141" s="16" t="n">
        <v>100</v>
      </c>
      <c r="G1141" s="15" t="s">
        <v>36</v>
      </c>
      <c r="H1141" s="17" t="s">
        <v>25</v>
      </c>
      <c r="I1141" s="18" t="s">
        <v>26</v>
      </c>
      <c r="J1141" s="15" t="n">
        <v>2019</v>
      </c>
      <c r="K1141" s="19" t="s">
        <v>27</v>
      </c>
      <c r="L1141" s="15" t="s">
        <v>28</v>
      </c>
      <c r="M1141" s="15" t="s">
        <v>33</v>
      </c>
      <c r="N1141" s="20" t="s">
        <v>72</v>
      </c>
      <c r="O1141" s="15"/>
      <c r="P1141" s="15"/>
      <c r="Q1141" s="21"/>
      <c r="R1141" s="21"/>
      <c r="S1141" s="21"/>
      <c r="T1141" s="28"/>
      <c r="U1141" s="34"/>
      <c r="V1141" s="25"/>
      <c r="W1141" s="25"/>
    </row>
    <row r="1142" customFormat="false" ht="41.4" hidden="false" customHeight="false" outlineLevel="0" collapsed="false">
      <c r="A1142" s="36" t="s">
        <v>2607</v>
      </c>
      <c r="B1142" s="26"/>
      <c r="C1142" s="14" t="s">
        <v>1382</v>
      </c>
      <c r="D1142" s="15" t="n">
        <v>12</v>
      </c>
      <c r="E1142" s="27" t="n">
        <f aca="false">F1142/2</f>
        <v>2160</v>
      </c>
      <c r="F1142" s="16" t="n">
        <f aca="false">12*300*1.2</f>
        <v>4320</v>
      </c>
      <c r="G1142" s="15" t="s">
        <v>36</v>
      </c>
      <c r="H1142" s="17" t="s">
        <v>25</v>
      </c>
      <c r="I1142" s="18" t="s">
        <v>26</v>
      </c>
      <c r="J1142" s="15" t="n">
        <v>2023</v>
      </c>
      <c r="K1142" s="19" t="s">
        <v>27</v>
      </c>
      <c r="L1142" s="15" t="s">
        <v>28</v>
      </c>
      <c r="M1142" s="15" t="s">
        <v>33</v>
      </c>
      <c r="N1142" s="17" t="s">
        <v>72</v>
      </c>
      <c r="O1142" s="15" t="s">
        <v>203</v>
      </c>
      <c r="P1142" s="15"/>
      <c r="Q1142" s="21"/>
      <c r="R1142" s="21"/>
      <c r="S1142" s="21"/>
      <c r="T1142" s="28"/>
      <c r="U1142" s="24"/>
      <c r="V1142" s="25"/>
      <c r="W1142" s="25"/>
    </row>
    <row r="1143" customFormat="false" ht="41.4" hidden="false" customHeight="false" outlineLevel="0" collapsed="false">
      <c r="A1143" s="36" t="s">
        <v>2608</v>
      </c>
      <c r="B1143" s="26" t="s">
        <v>2609</v>
      </c>
      <c r="C1143" s="14" t="s">
        <v>157</v>
      </c>
      <c r="D1143" s="15" t="n">
        <v>4</v>
      </c>
      <c r="E1143" s="27" t="n">
        <f aca="false">F1143/2</f>
        <v>550</v>
      </c>
      <c r="F1143" s="16" t="n">
        <v>1100</v>
      </c>
      <c r="G1143" s="15" t="s">
        <v>36</v>
      </c>
      <c r="H1143" s="17" t="s">
        <v>25</v>
      </c>
      <c r="I1143" s="18" t="s">
        <v>26</v>
      </c>
      <c r="J1143" s="15" t="n">
        <v>2017</v>
      </c>
      <c r="K1143" s="19" t="s">
        <v>27</v>
      </c>
      <c r="L1143" s="15" t="s">
        <v>28</v>
      </c>
      <c r="M1143" s="15" t="s">
        <v>33</v>
      </c>
      <c r="N1143" s="17" t="s">
        <v>72</v>
      </c>
      <c r="O1143" s="15"/>
      <c r="P1143" s="15"/>
      <c r="Q1143" s="21" t="s">
        <v>73</v>
      </c>
      <c r="R1143" s="21"/>
      <c r="S1143" s="21"/>
      <c r="T1143" s="28"/>
      <c r="U1143" s="24"/>
      <c r="V1143" s="25"/>
      <c r="W1143" s="25"/>
    </row>
    <row r="1144" customFormat="false" ht="41.4" hidden="false" customHeight="false" outlineLevel="0" collapsed="false">
      <c r="A1144" s="36" t="s">
        <v>2610</v>
      </c>
      <c r="B1144" s="26" t="s">
        <v>2611</v>
      </c>
      <c r="C1144" s="14" t="s">
        <v>64</v>
      </c>
      <c r="D1144" s="15" t="n">
        <v>6</v>
      </c>
      <c r="E1144" s="27" t="n">
        <f aca="false">F1144/2</f>
        <v>1269</v>
      </c>
      <c r="F1144" s="16" t="n">
        <v>2538</v>
      </c>
      <c r="G1144" s="15" t="s">
        <v>36</v>
      </c>
      <c r="H1144" s="17" t="s">
        <v>25</v>
      </c>
      <c r="I1144" s="18" t="s">
        <v>26</v>
      </c>
      <c r="J1144" s="15" t="n">
        <v>2016</v>
      </c>
      <c r="K1144" s="19" t="s">
        <v>65</v>
      </c>
      <c r="L1144" s="15" t="s">
        <v>28</v>
      </c>
      <c r="M1144" s="15" t="s">
        <v>33</v>
      </c>
      <c r="N1144" s="17" t="s">
        <v>72</v>
      </c>
      <c r="O1144" s="15"/>
      <c r="P1144" s="15"/>
      <c r="Q1144" s="21" t="s">
        <v>78</v>
      </c>
      <c r="R1144" s="21"/>
      <c r="S1144" s="21"/>
      <c r="T1144" s="28"/>
      <c r="U1144" s="24"/>
      <c r="V1144" s="25"/>
      <c r="W1144" s="25"/>
    </row>
    <row r="1145" s="25" customFormat="true" ht="41.4" hidden="false" customHeight="false" outlineLevel="0" collapsed="false">
      <c r="A1145" s="36" t="s">
        <v>2612</v>
      </c>
      <c r="B1145" s="26" t="s">
        <v>2613</v>
      </c>
      <c r="C1145" s="14" t="s">
        <v>197</v>
      </c>
      <c r="D1145" s="15" t="n">
        <v>12</v>
      </c>
      <c r="E1145" s="27" t="n">
        <f aca="false">F1145/2</f>
        <v>4125</v>
      </c>
      <c r="F1145" s="16" t="n">
        <v>8250</v>
      </c>
      <c r="G1145" s="15" t="s">
        <v>36</v>
      </c>
      <c r="H1145" s="17" t="s">
        <v>25</v>
      </c>
      <c r="I1145" s="18" t="s">
        <v>26</v>
      </c>
      <c r="J1145" s="15" t="n">
        <v>2020</v>
      </c>
      <c r="K1145" s="19" t="s">
        <v>27</v>
      </c>
      <c r="L1145" s="15" t="s">
        <v>28</v>
      </c>
      <c r="M1145" s="15" t="s">
        <v>33</v>
      </c>
      <c r="N1145" s="20" t="s">
        <v>72</v>
      </c>
      <c r="O1145" s="15"/>
      <c r="P1145" s="15"/>
      <c r="Q1145" s="21"/>
      <c r="R1145" s="21"/>
      <c r="S1145" s="21"/>
      <c r="T1145" s="28"/>
      <c r="U1145" s="34"/>
    </row>
    <row r="1146" s="25" customFormat="true" ht="41.4" hidden="false" customHeight="false" outlineLevel="0" collapsed="false">
      <c r="A1146" s="36" t="s">
        <v>2614</v>
      </c>
      <c r="B1146" s="26"/>
      <c r="C1146" s="14" t="s">
        <v>35</v>
      </c>
      <c r="D1146" s="15" t="n">
        <v>4</v>
      </c>
      <c r="E1146" s="27" t="n">
        <f aca="false">F1146/2</f>
        <v>50</v>
      </c>
      <c r="F1146" s="16" t="n">
        <v>100</v>
      </c>
      <c r="G1146" s="15" t="s">
        <v>36</v>
      </c>
      <c r="H1146" s="17" t="s">
        <v>25</v>
      </c>
      <c r="I1146" s="18" t="s">
        <v>26</v>
      </c>
      <c r="J1146" s="15" t="n">
        <v>2025</v>
      </c>
      <c r="K1146" s="19" t="s">
        <v>37</v>
      </c>
      <c r="L1146" s="15" t="s">
        <v>28</v>
      </c>
      <c r="M1146" s="15"/>
      <c r="N1146" s="17"/>
      <c r="O1146" s="15"/>
      <c r="P1146" s="15"/>
      <c r="Q1146" s="21"/>
      <c r="R1146" s="21"/>
      <c r="S1146" s="21"/>
      <c r="T1146" s="28"/>
      <c r="U1146" s="24"/>
      <c r="V1146" s="37"/>
      <c r="W1146" s="37"/>
    </row>
    <row r="1147" s="25" customFormat="true" ht="41.4" hidden="false" customHeight="false" outlineLevel="0" collapsed="false">
      <c r="A1147" s="36" t="s">
        <v>2615</v>
      </c>
      <c r="B1147" s="26" t="s">
        <v>2616</v>
      </c>
      <c r="C1147" s="14" t="s">
        <v>1273</v>
      </c>
      <c r="D1147" s="15" t="n">
        <v>8</v>
      </c>
      <c r="E1147" s="27" t="n">
        <v>1750</v>
      </c>
      <c r="F1147" s="16" t="n">
        <v>3500</v>
      </c>
      <c r="G1147" s="15" t="s">
        <v>24</v>
      </c>
      <c r="H1147" s="17" t="s">
        <v>25</v>
      </c>
      <c r="I1147" s="18" t="s">
        <v>26</v>
      </c>
      <c r="J1147" s="15" t="n">
        <v>2016</v>
      </c>
      <c r="K1147" s="19" t="s">
        <v>27</v>
      </c>
      <c r="L1147" s="15" t="s">
        <v>28</v>
      </c>
      <c r="M1147" s="15" t="s">
        <v>33</v>
      </c>
      <c r="N1147" s="17" t="s">
        <v>45</v>
      </c>
      <c r="O1147" s="15"/>
      <c r="P1147" s="15"/>
      <c r="Q1147" s="21" t="s">
        <v>862</v>
      </c>
      <c r="R1147" s="21"/>
      <c r="S1147" s="21"/>
      <c r="T1147" s="28"/>
      <c r="U1147" s="24"/>
    </row>
    <row r="1148" s="25" customFormat="true" ht="41.4" hidden="false" customHeight="false" outlineLevel="0" collapsed="false">
      <c r="A1148" s="36" t="s">
        <v>2617</v>
      </c>
      <c r="B1148" s="26" t="s">
        <v>2618</v>
      </c>
      <c r="C1148" s="14" t="s">
        <v>2619</v>
      </c>
      <c r="D1148" s="15" t="n">
        <v>4</v>
      </c>
      <c r="E1148" s="27" t="n">
        <v>1500</v>
      </c>
      <c r="F1148" s="16" t="n">
        <v>3000</v>
      </c>
      <c r="G1148" s="15" t="s">
        <v>24</v>
      </c>
      <c r="H1148" s="17" t="s">
        <v>25</v>
      </c>
      <c r="I1148" s="18" t="s">
        <v>26</v>
      </c>
      <c r="J1148" s="15" t="n">
        <v>2016</v>
      </c>
      <c r="K1148" s="19" t="s">
        <v>27</v>
      </c>
      <c r="L1148" s="15" t="s">
        <v>28</v>
      </c>
      <c r="M1148" s="15" t="s">
        <v>33</v>
      </c>
      <c r="N1148" s="17" t="s">
        <v>72</v>
      </c>
      <c r="O1148" s="15"/>
      <c r="P1148" s="15"/>
      <c r="Q1148" s="21" t="s">
        <v>78</v>
      </c>
      <c r="R1148" s="21"/>
      <c r="S1148" s="21"/>
      <c r="T1148" s="28"/>
      <c r="U1148" s="24"/>
    </row>
    <row r="1149" s="25" customFormat="true" ht="41.4" hidden="false" customHeight="false" outlineLevel="0" collapsed="false">
      <c r="A1149" s="36" t="s">
        <v>2620</v>
      </c>
      <c r="B1149" s="26"/>
      <c r="C1149" s="14" t="s">
        <v>2621</v>
      </c>
      <c r="D1149" s="15" t="n">
        <v>4</v>
      </c>
      <c r="E1149" s="16" t="n">
        <f aca="false">F1149/2</f>
        <v>4680</v>
      </c>
      <c r="F1149" s="16" t="n">
        <v>9360</v>
      </c>
      <c r="G1149" s="15" t="s">
        <v>36</v>
      </c>
      <c r="H1149" s="17" t="s">
        <v>25</v>
      </c>
      <c r="I1149" s="18" t="s">
        <v>26</v>
      </c>
      <c r="J1149" s="15" t="n">
        <v>2024</v>
      </c>
      <c r="K1149" s="19" t="s">
        <v>27</v>
      </c>
      <c r="L1149" s="15" t="s">
        <v>28</v>
      </c>
      <c r="M1149" s="15" t="s">
        <v>33</v>
      </c>
      <c r="N1149" s="17" t="s">
        <v>126</v>
      </c>
      <c r="O1149" s="15" t="s">
        <v>250</v>
      </c>
      <c r="P1149" s="15"/>
      <c r="Q1149" s="21"/>
      <c r="R1149" s="21"/>
      <c r="S1149" s="21"/>
      <c r="T1149" s="28"/>
      <c r="U1149" s="24"/>
    </row>
    <row r="1150" s="25" customFormat="true" ht="41.4" hidden="false" customHeight="false" outlineLevel="0" collapsed="false">
      <c r="A1150" s="36" t="s">
        <v>2622</v>
      </c>
      <c r="B1150" s="26" t="s">
        <v>2623</v>
      </c>
      <c r="C1150" s="14" t="s">
        <v>390</v>
      </c>
      <c r="D1150" s="15" t="n">
        <v>3</v>
      </c>
      <c r="E1150" s="27" t="n">
        <f aca="false">F1150/2</f>
        <v>1185</v>
      </c>
      <c r="F1150" s="16" t="n">
        <v>2370</v>
      </c>
      <c r="G1150" s="15" t="s">
        <v>36</v>
      </c>
      <c r="H1150" s="17" t="s">
        <v>25</v>
      </c>
      <c r="I1150" s="18" t="s">
        <v>26</v>
      </c>
      <c r="J1150" s="15" t="n">
        <v>2014</v>
      </c>
      <c r="K1150" s="19" t="s">
        <v>27</v>
      </c>
      <c r="L1150" s="15" t="s">
        <v>28</v>
      </c>
      <c r="M1150" s="15" t="s">
        <v>33</v>
      </c>
      <c r="N1150" s="17" t="s">
        <v>83</v>
      </c>
      <c r="O1150" s="15"/>
      <c r="P1150" s="15"/>
      <c r="Q1150" s="21" t="s">
        <v>302</v>
      </c>
      <c r="R1150" s="21"/>
      <c r="S1150" s="21"/>
      <c r="T1150" s="28"/>
      <c r="U1150" s="24"/>
    </row>
    <row r="1151" s="25" customFormat="true" ht="41.4" hidden="false" customHeight="false" outlineLevel="0" collapsed="false">
      <c r="A1151" s="36" t="s">
        <v>2624</v>
      </c>
      <c r="B1151" s="26" t="s">
        <v>2625</v>
      </c>
      <c r="C1151" s="14" t="s">
        <v>2626</v>
      </c>
      <c r="D1151" s="15" t="n">
        <v>12</v>
      </c>
      <c r="E1151" s="27" t="n">
        <f aca="false">F1151/2</f>
        <v>50</v>
      </c>
      <c r="F1151" s="71" t="n">
        <v>100</v>
      </c>
      <c r="G1151" s="15" t="s">
        <v>36</v>
      </c>
      <c r="H1151" s="17" t="s">
        <v>25</v>
      </c>
      <c r="I1151" s="18" t="s">
        <v>26</v>
      </c>
      <c r="J1151" s="15" t="n">
        <v>2020</v>
      </c>
      <c r="K1151" s="19" t="s">
        <v>27</v>
      </c>
      <c r="L1151" s="15" t="s">
        <v>28</v>
      </c>
      <c r="M1151" s="15" t="s">
        <v>33</v>
      </c>
      <c r="N1151" s="17" t="s">
        <v>164</v>
      </c>
      <c r="O1151" s="15"/>
      <c r="P1151" s="15"/>
      <c r="Q1151" s="21"/>
      <c r="R1151" s="21"/>
      <c r="S1151" s="21"/>
      <c r="T1151" s="28"/>
      <c r="U1151" s="24"/>
    </row>
    <row r="1152" s="25" customFormat="true" ht="41.4" hidden="false" customHeight="false" outlineLevel="0" collapsed="false">
      <c r="A1152" s="36" t="s">
        <v>2627</v>
      </c>
      <c r="B1152" s="26" t="s">
        <v>2628</v>
      </c>
      <c r="C1152" s="14"/>
      <c r="D1152" s="15" t="n">
        <v>52</v>
      </c>
      <c r="E1152" s="27" t="n">
        <f aca="false">F1152/2</f>
        <v>3720</v>
      </c>
      <c r="F1152" s="71" t="n">
        <v>7440</v>
      </c>
      <c r="G1152" s="15" t="s">
        <v>354</v>
      </c>
      <c r="H1152" s="17" t="s">
        <v>25</v>
      </c>
      <c r="I1152" s="18" t="s">
        <v>26</v>
      </c>
      <c r="J1152" s="15" t="n">
        <v>2010</v>
      </c>
      <c r="K1152" s="19" t="s">
        <v>27</v>
      </c>
      <c r="L1152" s="15" t="s">
        <v>103</v>
      </c>
      <c r="M1152" s="15" t="s">
        <v>33</v>
      </c>
      <c r="N1152" s="17" t="s">
        <v>343</v>
      </c>
      <c r="O1152" s="15"/>
      <c r="P1152" s="15"/>
      <c r="Q1152" s="21" t="s">
        <v>344</v>
      </c>
      <c r="R1152" s="21"/>
      <c r="S1152" s="21"/>
      <c r="T1152" s="28"/>
      <c r="U1152" s="24"/>
    </row>
    <row r="1153" s="25" customFormat="true" ht="41.4" hidden="false" customHeight="false" outlineLevel="0" collapsed="false">
      <c r="A1153" s="36" t="s">
        <v>2629</v>
      </c>
      <c r="B1153" s="26" t="s">
        <v>2630</v>
      </c>
      <c r="C1153" s="14" t="s">
        <v>2631</v>
      </c>
      <c r="D1153" s="15" t="n">
        <v>10</v>
      </c>
      <c r="E1153" s="27" t="n">
        <f aca="false">F1153/2</f>
        <v>21420</v>
      </c>
      <c r="F1153" s="71" t="n">
        <f aca="false">35700*1.2</f>
        <v>42840</v>
      </c>
      <c r="G1153" s="15" t="s">
        <v>36</v>
      </c>
      <c r="H1153" s="17" t="s">
        <v>25</v>
      </c>
      <c r="I1153" s="18" t="s">
        <v>26</v>
      </c>
      <c r="J1153" s="15" t="n">
        <v>2019</v>
      </c>
      <c r="K1153" s="19" t="s">
        <v>27</v>
      </c>
      <c r="L1153" s="15" t="s">
        <v>28</v>
      </c>
      <c r="M1153" s="15" t="s">
        <v>33</v>
      </c>
      <c r="N1153" s="17" t="s">
        <v>45</v>
      </c>
      <c r="O1153" s="15"/>
      <c r="P1153" s="15"/>
      <c r="Q1153" s="21"/>
      <c r="R1153" s="21"/>
      <c r="S1153" s="21"/>
      <c r="T1153" s="28"/>
      <c r="U1153" s="24"/>
    </row>
    <row r="1154" s="25" customFormat="true" ht="41.4" hidden="false" customHeight="false" outlineLevel="0" collapsed="false">
      <c r="A1154" s="36" t="s">
        <v>2632</v>
      </c>
      <c r="B1154" s="26" t="s">
        <v>2633</v>
      </c>
      <c r="C1154" s="14" t="s">
        <v>475</v>
      </c>
      <c r="D1154" s="15" t="n">
        <v>6</v>
      </c>
      <c r="E1154" s="27" t="n">
        <f aca="false">F1154/2</f>
        <v>26280</v>
      </c>
      <c r="F1154" s="16" t="n">
        <f aca="false">21900*2*1.2</f>
        <v>52560</v>
      </c>
      <c r="G1154" s="15" t="s">
        <v>36</v>
      </c>
      <c r="H1154" s="17" t="s">
        <v>25</v>
      </c>
      <c r="I1154" s="18" t="s">
        <v>26</v>
      </c>
      <c r="J1154" s="15" t="n">
        <v>2019</v>
      </c>
      <c r="K1154" s="19" t="s">
        <v>27</v>
      </c>
      <c r="L1154" s="15" t="s">
        <v>28</v>
      </c>
      <c r="M1154" s="15" t="s">
        <v>33</v>
      </c>
      <c r="N1154" s="17" t="s">
        <v>45</v>
      </c>
      <c r="O1154" s="15" t="s">
        <v>54</v>
      </c>
      <c r="P1154" s="15"/>
      <c r="Q1154" s="21" t="s">
        <v>476</v>
      </c>
      <c r="R1154" s="21"/>
      <c r="S1154" s="21"/>
      <c r="T1154" s="31" t="n">
        <v>45846</v>
      </c>
      <c r="U1154" s="24"/>
    </row>
    <row r="1155" s="25" customFormat="true" ht="41.4" hidden="false" customHeight="false" outlineLevel="0" collapsed="false">
      <c r="A1155" s="36" t="s">
        <v>2634</v>
      </c>
      <c r="B1155" s="26" t="s">
        <v>2635</v>
      </c>
      <c r="C1155" s="70" t="s">
        <v>182</v>
      </c>
      <c r="D1155" s="15" t="n">
        <v>4</v>
      </c>
      <c r="E1155" s="27" t="n">
        <v>1600</v>
      </c>
      <c r="F1155" s="16" t="n">
        <v>3200</v>
      </c>
      <c r="G1155" s="15" t="s">
        <v>24</v>
      </c>
      <c r="H1155" s="17" t="s">
        <v>25</v>
      </c>
      <c r="I1155" s="18" t="s">
        <v>26</v>
      </c>
      <c r="J1155" s="15" t="n">
        <v>2017</v>
      </c>
      <c r="K1155" s="19" t="s">
        <v>27</v>
      </c>
      <c r="L1155" s="15" t="s">
        <v>28</v>
      </c>
      <c r="M1155" s="15" t="s">
        <v>33</v>
      </c>
      <c r="N1155" s="17" t="s">
        <v>45</v>
      </c>
      <c r="O1155" s="15"/>
      <c r="P1155" s="15"/>
      <c r="Q1155" s="21" t="s">
        <v>1972</v>
      </c>
      <c r="R1155" s="21"/>
      <c r="S1155" s="21"/>
      <c r="T1155" s="28"/>
      <c r="U1155" s="24"/>
    </row>
    <row r="1156" s="25" customFormat="true" ht="41.4" hidden="false" customHeight="false" outlineLevel="0" collapsed="false">
      <c r="A1156" s="36" t="s">
        <v>2636</v>
      </c>
      <c r="B1156" s="26"/>
      <c r="C1156" s="70" t="s">
        <v>1992</v>
      </c>
      <c r="D1156" s="15" t="n">
        <v>4</v>
      </c>
      <c r="E1156" s="16" t="n">
        <f aca="false">F1156/2</f>
        <v>50</v>
      </c>
      <c r="F1156" s="16" t="n">
        <v>100</v>
      </c>
      <c r="G1156" s="15" t="s">
        <v>36</v>
      </c>
      <c r="H1156" s="17" t="s">
        <v>25</v>
      </c>
      <c r="I1156" s="18" t="s">
        <v>26</v>
      </c>
      <c r="J1156" s="15" t="n">
        <v>2025</v>
      </c>
      <c r="K1156" s="19" t="s">
        <v>1325</v>
      </c>
      <c r="L1156" s="15" t="s">
        <v>28</v>
      </c>
      <c r="M1156" s="15" t="s">
        <v>33</v>
      </c>
      <c r="N1156" s="17"/>
      <c r="O1156" s="15"/>
      <c r="P1156" s="15"/>
      <c r="Q1156" s="21"/>
      <c r="R1156" s="21"/>
      <c r="S1156" s="21" t="s">
        <v>113</v>
      </c>
      <c r="T1156" s="31" t="n">
        <v>45855</v>
      </c>
      <c r="U1156" s="24"/>
    </row>
    <row r="1157" s="25" customFormat="true" ht="41.4" hidden="false" customHeight="false" outlineLevel="0" collapsed="false">
      <c r="A1157" s="36" t="s">
        <v>2637</v>
      </c>
      <c r="B1157" s="26" t="s">
        <v>2638</v>
      </c>
      <c r="C1157" s="70" t="s">
        <v>246</v>
      </c>
      <c r="D1157" s="15" t="n">
        <v>6</v>
      </c>
      <c r="E1157" s="27" t="n">
        <f aca="false">F1157/2</f>
        <v>6080</v>
      </c>
      <c r="F1157" s="38" t="n">
        <v>12160</v>
      </c>
      <c r="G1157" s="15" t="s">
        <v>36</v>
      </c>
      <c r="H1157" s="17" t="s">
        <v>25</v>
      </c>
      <c r="I1157" s="18" t="s">
        <v>26</v>
      </c>
      <c r="J1157" s="15" t="n">
        <v>2017</v>
      </c>
      <c r="K1157" s="19" t="s">
        <v>27</v>
      </c>
      <c r="L1157" s="15" t="s">
        <v>28</v>
      </c>
      <c r="M1157" s="15" t="s">
        <v>33</v>
      </c>
      <c r="N1157" s="20"/>
      <c r="O1157" s="15"/>
      <c r="P1157" s="15"/>
      <c r="Q1157" s="21" t="s">
        <v>247</v>
      </c>
      <c r="R1157" s="21"/>
      <c r="S1157" s="21"/>
      <c r="T1157" s="31" t="n">
        <v>45882</v>
      </c>
      <c r="U1157" s="24" t="s">
        <v>248</v>
      </c>
    </row>
    <row r="1158" s="25" customFormat="true" ht="41.4" hidden="false" customHeight="false" outlineLevel="0" collapsed="false">
      <c r="A1158" s="36" t="s">
        <v>2639</v>
      </c>
      <c r="B1158" s="26" t="s">
        <v>2640</v>
      </c>
      <c r="C1158" s="70" t="s">
        <v>246</v>
      </c>
      <c r="D1158" s="15" t="n">
        <v>6</v>
      </c>
      <c r="E1158" s="27" t="n">
        <f aca="false">F1158/2</f>
        <v>12820</v>
      </c>
      <c r="F1158" s="38" t="n">
        <v>25640</v>
      </c>
      <c r="G1158" s="15" t="s">
        <v>36</v>
      </c>
      <c r="H1158" s="17" t="s">
        <v>25</v>
      </c>
      <c r="I1158" s="18" t="s">
        <v>26</v>
      </c>
      <c r="J1158" s="15" t="n">
        <v>2017</v>
      </c>
      <c r="K1158" s="19" t="s">
        <v>27</v>
      </c>
      <c r="L1158" s="15" t="s">
        <v>28</v>
      </c>
      <c r="M1158" s="15" t="s">
        <v>33</v>
      </c>
      <c r="N1158" s="20" t="s">
        <v>83</v>
      </c>
      <c r="O1158" s="15"/>
      <c r="P1158" s="15"/>
      <c r="Q1158" s="21" t="s">
        <v>247</v>
      </c>
      <c r="R1158" s="21"/>
      <c r="S1158" s="21"/>
      <c r="T1158" s="31" t="n">
        <v>45882</v>
      </c>
      <c r="U1158" s="24" t="s">
        <v>248</v>
      </c>
    </row>
    <row r="1159" s="25" customFormat="true" ht="41.4" hidden="false" customHeight="false" outlineLevel="0" collapsed="false">
      <c r="A1159" s="36" t="s">
        <v>2641</v>
      </c>
      <c r="B1159" s="26"/>
      <c r="C1159" s="14" t="s">
        <v>864</v>
      </c>
      <c r="D1159" s="15" t="n">
        <v>4</v>
      </c>
      <c r="E1159" s="16" t="n">
        <f aca="false">F1159/2</f>
        <v>50</v>
      </c>
      <c r="F1159" s="16" t="n">
        <v>100</v>
      </c>
      <c r="G1159" s="15" t="s">
        <v>36</v>
      </c>
      <c r="H1159" s="17" t="s">
        <v>25</v>
      </c>
      <c r="I1159" s="18" t="s">
        <v>26</v>
      </c>
      <c r="J1159" s="15" t="n">
        <v>2025</v>
      </c>
      <c r="K1159" s="19" t="s">
        <v>553</v>
      </c>
      <c r="L1159" s="15" t="s">
        <v>28</v>
      </c>
      <c r="M1159" s="15" t="s">
        <v>33</v>
      </c>
      <c r="N1159" s="17"/>
      <c r="O1159" s="15"/>
      <c r="P1159" s="15"/>
      <c r="Q1159" s="21"/>
      <c r="R1159" s="21"/>
      <c r="S1159" s="21"/>
      <c r="T1159" s="28"/>
      <c r="U1159" s="24"/>
    </row>
    <row r="1160" s="25" customFormat="true" ht="41.4" hidden="false" customHeight="false" outlineLevel="0" collapsed="false">
      <c r="A1160" s="36" t="s">
        <v>2642</v>
      </c>
      <c r="B1160" s="26" t="s">
        <v>2643</v>
      </c>
      <c r="C1160" s="14" t="s">
        <v>2644</v>
      </c>
      <c r="D1160" s="15" t="n">
        <v>6</v>
      </c>
      <c r="E1160" s="27" t="n">
        <v>3240</v>
      </c>
      <c r="F1160" s="16" t="n">
        <v>7140</v>
      </c>
      <c r="G1160" s="15" t="s">
        <v>24</v>
      </c>
      <c r="H1160" s="17" t="s">
        <v>25</v>
      </c>
      <c r="I1160" s="18" t="s">
        <v>26</v>
      </c>
      <c r="J1160" s="15" t="n">
        <v>2006</v>
      </c>
      <c r="K1160" s="19" t="s">
        <v>27</v>
      </c>
      <c r="L1160" s="15" t="s">
        <v>28</v>
      </c>
      <c r="M1160" s="15" t="s">
        <v>33</v>
      </c>
      <c r="N1160" s="17" t="s">
        <v>671</v>
      </c>
      <c r="O1160" s="15" t="s">
        <v>54</v>
      </c>
      <c r="P1160" s="15"/>
      <c r="Q1160" s="21" t="s">
        <v>78</v>
      </c>
      <c r="R1160" s="21"/>
      <c r="S1160" s="21"/>
      <c r="T1160" s="28"/>
      <c r="U1160" s="24"/>
    </row>
    <row r="1161" s="25" customFormat="true" ht="41.4" hidden="false" customHeight="false" outlineLevel="0" collapsed="false">
      <c r="A1161" s="36" t="s">
        <v>2645</v>
      </c>
      <c r="B1161" s="26"/>
      <c r="C1161" s="14" t="s">
        <v>144</v>
      </c>
      <c r="D1161" s="15" t="n">
        <v>4</v>
      </c>
      <c r="E1161" s="16" t="n">
        <f aca="false">F1161/2</f>
        <v>50</v>
      </c>
      <c r="F1161" s="16" t="n">
        <v>100</v>
      </c>
      <c r="G1161" s="15" t="s">
        <v>36</v>
      </c>
      <c r="H1161" s="17" t="s">
        <v>25</v>
      </c>
      <c r="I1161" s="18" t="s">
        <v>26</v>
      </c>
      <c r="J1161" s="15" t="n">
        <v>2025</v>
      </c>
      <c r="K1161" s="19" t="s">
        <v>145</v>
      </c>
      <c r="L1161" s="15" t="s">
        <v>28</v>
      </c>
      <c r="M1161" s="15" t="s">
        <v>33</v>
      </c>
      <c r="N1161" s="17"/>
      <c r="O1161" s="15"/>
      <c r="P1161" s="15"/>
      <c r="Q1161" s="21"/>
      <c r="R1161" s="21"/>
      <c r="S1161" s="21" t="s">
        <v>113</v>
      </c>
      <c r="T1161" s="31" t="n">
        <v>45880</v>
      </c>
      <c r="U1161" s="24"/>
    </row>
    <row r="1162" s="25" customFormat="true" ht="41.4" hidden="false" customHeight="false" outlineLevel="0" collapsed="false">
      <c r="A1162" s="36" t="s">
        <v>2646</v>
      </c>
      <c r="B1162" s="26" t="s">
        <v>2647</v>
      </c>
      <c r="C1162" s="14" t="s">
        <v>246</v>
      </c>
      <c r="D1162" s="15" t="n">
        <v>6</v>
      </c>
      <c r="E1162" s="27" t="n">
        <f aca="false">F1162/2</f>
        <v>6135</v>
      </c>
      <c r="F1162" s="38" t="n">
        <v>12270</v>
      </c>
      <c r="G1162" s="15" t="s">
        <v>36</v>
      </c>
      <c r="H1162" s="17" t="s">
        <v>25</v>
      </c>
      <c r="I1162" s="18" t="s">
        <v>26</v>
      </c>
      <c r="J1162" s="15" t="n">
        <v>2017</v>
      </c>
      <c r="K1162" s="19" t="s">
        <v>27</v>
      </c>
      <c r="L1162" s="15" t="s">
        <v>28</v>
      </c>
      <c r="M1162" s="15" t="s">
        <v>33</v>
      </c>
      <c r="N1162" s="17" t="s">
        <v>671</v>
      </c>
      <c r="O1162" s="15"/>
      <c r="P1162" s="15"/>
      <c r="Q1162" s="21" t="s">
        <v>247</v>
      </c>
      <c r="R1162" s="21"/>
      <c r="S1162" s="21"/>
      <c r="T1162" s="31" t="n">
        <v>45882</v>
      </c>
      <c r="U1162" s="24" t="s">
        <v>248</v>
      </c>
    </row>
    <row r="1163" s="25" customFormat="true" ht="68.4" hidden="false" customHeight="false" outlineLevel="0" collapsed="false">
      <c r="A1163" s="36" t="s">
        <v>2648</v>
      </c>
      <c r="B1163" s="26" t="s">
        <v>2649</v>
      </c>
      <c r="C1163" s="14" t="s">
        <v>86</v>
      </c>
      <c r="D1163" s="15" t="n">
        <v>6</v>
      </c>
      <c r="E1163" s="27" t="n">
        <f aca="false">F1163/2</f>
        <v>8752</v>
      </c>
      <c r="F1163" s="32" t="n">
        <v>17504</v>
      </c>
      <c r="G1163" s="15" t="s">
        <v>24</v>
      </c>
      <c r="H1163" s="17" t="s">
        <v>25</v>
      </c>
      <c r="I1163" s="18" t="s">
        <v>26</v>
      </c>
      <c r="J1163" s="15" t="n">
        <v>2014</v>
      </c>
      <c r="K1163" s="19" t="s">
        <v>59</v>
      </c>
      <c r="L1163" s="15" t="s">
        <v>28</v>
      </c>
      <c r="M1163" s="15" t="s">
        <v>33</v>
      </c>
      <c r="N1163" s="17" t="s">
        <v>153</v>
      </c>
      <c r="O1163" s="15"/>
      <c r="P1163" s="15"/>
      <c r="Q1163" s="21" t="s">
        <v>577</v>
      </c>
      <c r="R1163" s="21"/>
      <c r="S1163" s="21"/>
      <c r="T1163" s="31" t="n">
        <v>45882</v>
      </c>
      <c r="U1163" s="24" t="s">
        <v>2650</v>
      </c>
    </row>
    <row r="1164" s="25" customFormat="true" ht="41.4" hidden="false" customHeight="false" outlineLevel="0" collapsed="false">
      <c r="A1164" s="36" t="s">
        <v>2651</v>
      </c>
      <c r="B1164" s="26" t="s">
        <v>2652</v>
      </c>
      <c r="C1164" s="14"/>
      <c r="D1164" s="15" t="n">
        <v>4</v>
      </c>
      <c r="E1164" s="27" t="n">
        <f aca="false">F1164/2</f>
        <v>4500</v>
      </c>
      <c r="F1164" s="16" t="n">
        <v>9000</v>
      </c>
      <c r="G1164" s="15" t="s">
        <v>24</v>
      </c>
      <c r="H1164" s="17" t="s">
        <v>25</v>
      </c>
      <c r="I1164" s="18" t="s">
        <v>26</v>
      </c>
      <c r="J1164" s="15"/>
      <c r="K1164" s="19" t="s">
        <v>27</v>
      </c>
      <c r="L1164" s="15" t="s">
        <v>28</v>
      </c>
      <c r="M1164" s="15" t="s">
        <v>33</v>
      </c>
      <c r="N1164" s="17"/>
      <c r="O1164" s="15" t="s">
        <v>54</v>
      </c>
      <c r="P1164" s="15"/>
      <c r="Q1164" s="21" t="s">
        <v>55</v>
      </c>
      <c r="R1164" s="21"/>
      <c r="S1164" s="21"/>
      <c r="T1164" s="28"/>
      <c r="U1164" s="24"/>
    </row>
    <row r="1165" s="25" customFormat="true" ht="41.4" hidden="false" customHeight="false" outlineLevel="0" collapsed="false">
      <c r="A1165" s="36" t="s">
        <v>2653</v>
      </c>
      <c r="B1165" s="26" t="s">
        <v>2654</v>
      </c>
      <c r="C1165" s="14" t="s">
        <v>1302</v>
      </c>
      <c r="D1165" s="15" t="n">
        <v>6</v>
      </c>
      <c r="E1165" s="27" t="n">
        <v>150</v>
      </c>
      <c r="F1165" s="16" t="n">
        <v>300</v>
      </c>
      <c r="G1165" s="15" t="s">
        <v>36</v>
      </c>
      <c r="H1165" s="17" t="s">
        <v>25</v>
      </c>
      <c r="I1165" s="18" t="s">
        <v>26</v>
      </c>
      <c r="J1165" s="15" t="n">
        <v>2021</v>
      </c>
      <c r="K1165" s="19" t="s">
        <v>27</v>
      </c>
      <c r="L1165" s="15" t="s">
        <v>28</v>
      </c>
      <c r="M1165" s="15" t="s">
        <v>33</v>
      </c>
      <c r="N1165" s="20" t="s">
        <v>45</v>
      </c>
      <c r="O1165" s="15"/>
      <c r="P1165" s="15"/>
      <c r="Q1165" s="21"/>
      <c r="R1165" s="21"/>
      <c r="S1165" s="21"/>
      <c r="T1165" s="28"/>
      <c r="U1165" s="34"/>
    </row>
    <row r="1166" s="25" customFormat="true" ht="41.4" hidden="false" customHeight="false" outlineLevel="0" collapsed="false">
      <c r="A1166" s="36" t="s">
        <v>2655</v>
      </c>
      <c r="B1166" s="26" t="s">
        <v>2656</v>
      </c>
      <c r="C1166" s="14" t="s">
        <v>1070</v>
      </c>
      <c r="D1166" s="15" t="n">
        <v>12</v>
      </c>
      <c r="E1166" s="27" t="n">
        <f aca="false">F1166/2</f>
        <v>9334</v>
      </c>
      <c r="F1166" s="16" t="n">
        <v>18668</v>
      </c>
      <c r="G1166" s="15" t="s">
        <v>24</v>
      </c>
      <c r="H1166" s="17" t="s">
        <v>25</v>
      </c>
      <c r="I1166" s="18" t="s">
        <v>26</v>
      </c>
      <c r="J1166" s="15" t="n">
        <v>2017</v>
      </c>
      <c r="K1166" s="19" t="s">
        <v>27</v>
      </c>
      <c r="L1166" s="15" t="s">
        <v>28</v>
      </c>
      <c r="M1166" s="15" t="s">
        <v>33</v>
      </c>
      <c r="N1166" s="20"/>
      <c r="O1166" s="61"/>
      <c r="P1166" s="15"/>
      <c r="Q1166" s="21" t="s">
        <v>247</v>
      </c>
      <c r="R1166" s="21"/>
      <c r="S1166" s="21"/>
      <c r="T1166" s="31" t="n">
        <v>45909</v>
      </c>
      <c r="U1166" s="24" t="s">
        <v>248</v>
      </c>
    </row>
    <row r="1167" s="25" customFormat="true" ht="41.4" hidden="false" customHeight="false" outlineLevel="0" collapsed="false">
      <c r="A1167" s="36" t="s">
        <v>2657</v>
      </c>
      <c r="B1167" s="26" t="s">
        <v>2658</v>
      </c>
      <c r="C1167" s="14" t="s">
        <v>95</v>
      </c>
      <c r="D1167" s="15" t="n">
        <v>7</v>
      </c>
      <c r="E1167" s="27" t="n">
        <f aca="false">F1167/2</f>
        <v>10920</v>
      </c>
      <c r="F1167" s="16" t="n">
        <f aca="false">7*2600*1.2</f>
        <v>21840</v>
      </c>
      <c r="G1167" s="15" t="s">
        <v>36</v>
      </c>
      <c r="H1167" s="17" t="s">
        <v>25</v>
      </c>
      <c r="I1167" s="18" t="s">
        <v>26</v>
      </c>
      <c r="J1167" s="15" t="n">
        <v>2012</v>
      </c>
      <c r="K1167" s="19" t="s">
        <v>27</v>
      </c>
      <c r="L1167" s="15" t="s">
        <v>28</v>
      </c>
      <c r="M1167" s="15" t="s">
        <v>33</v>
      </c>
      <c r="N1167" s="17" t="s">
        <v>72</v>
      </c>
      <c r="O1167" s="15" t="s">
        <v>54</v>
      </c>
      <c r="P1167" s="15"/>
      <c r="Q1167" s="21" t="s">
        <v>73</v>
      </c>
      <c r="R1167" s="21"/>
      <c r="S1167" s="21"/>
      <c r="T1167" s="31" t="n">
        <v>45880</v>
      </c>
      <c r="U1167" s="24"/>
    </row>
    <row r="1168" s="25" customFormat="true" ht="41.4" hidden="false" customHeight="false" outlineLevel="0" collapsed="false">
      <c r="A1168" s="36" t="s">
        <v>2659</v>
      </c>
      <c r="B1168" s="26" t="s">
        <v>2660</v>
      </c>
      <c r="C1168" s="14" t="s">
        <v>2661</v>
      </c>
      <c r="D1168" s="15" t="n">
        <v>6</v>
      </c>
      <c r="E1168" s="27" t="n">
        <f aca="false">F1168/2</f>
        <v>5364</v>
      </c>
      <c r="F1168" s="16" t="n">
        <v>10728</v>
      </c>
      <c r="G1168" s="15" t="s">
        <v>36</v>
      </c>
      <c r="H1168" s="17" t="s">
        <v>25</v>
      </c>
      <c r="I1168" s="18" t="s">
        <v>26</v>
      </c>
      <c r="J1168" s="15" t="n">
        <v>2022</v>
      </c>
      <c r="K1168" s="19" t="s">
        <v>27</v>
      </c>
      <c r="L1168" s="15" t="s">
        <v>28</v>
      </c>
      <c r="M1168" s="15" t="s">
        <v>33</v>
      </c>
      <c r="N1168" s="20"/>
      <c r="O1168" s="15"/>
      <c r="P1168" s="15"/>
      <c r="Q1168" s="21"/>
      <c r="R1168" s="21"/>
      <c r="S1168" s="21"/>
      <c r="T1168" s="28"/>
      <c r="U1168" s="34"/>
    </row>
    <row r="1169" s="25" customFormat="true" ht="41.4" hidden="false" customHeight="false" outlineLevel="0" collapsed="false">
      <c r="A1169" s="36" t="s">
        <v>2662</v>
      </c>
      <c r="B1169" s="26"/>
      <c r="C1169" s="14" t="s">
        <v>579</v>
      </c>
      <c r="D1169" s="15" t="n">
        <v>4</v>
      </c>
      <c r="E1169" s="27" t="n">
        <f aca="false">F1169/2</f>
        <v>4800</v>
      </c>
      <c r="F1169" s="16" t="n">
        <f aca="false">8000*1.2</f>
        <v>9600</v>
      </c>
      <c r="G1169" s="15" t="s">
        <v>36</v>
      </c>
      <c r="H1169" s="17" t="s">
        <v>25</v>
      </c>
      <c r="I1169" s="18" t="s">
        <v>26</v>
      </c>
      <c r="J1169" s="15" t="n">
        <v>2023</v>
      </c>
      <c r="K1169" s="19" t="s">
        <v>27</v>
      </c>
      <c r="L1169" s="15" t="s">
        <v>28</v>
      </c>
      <c r="M1169" s="15" t="s">
        <v>33</v>
      </c>
      <c r="N1169" s="17" t="s">
        <v>270</v>
      </c>
      <c r="O1169" s="15"/>
      <c r="P1169" s="15"/>
      <c r="Q1169" s="21"/>
      <c r="R1169" s="21"/>
      <c r="S1169" s="21"/>
      <c r="T1169" s="28"/>
      <c r="U1169" s="24"/>
    </row>
    <row r="1170" s="25" customFormat="true" ht="41.4" hidden="false" customHeight="false" outlineLevel="0" collapsed="false">
      <c r="A1170" s="36" t="s">
        <v>2663</v>
      </c>
      <c r="B1170" s="26" t="s">
        <v>2664</v>
      </c>
      <c r="C1170" s="14" t="s">
        <v>246</v>
      </c>
      <c r="D1170" s="15" t="n">
        <v>6</v>
      </c>
      <c r="E1170" s="27" t="n">
        <f aca="false">F1170/2</f>
        <v>3371</v>
      </c>
      <c r="F1170" s="38" t="n">
        <v>6742</v>
      </c>
      <c r="G1170" s="15" t="s">
        <v>24</v>
      </c>
      <c r="H1170" s="17" t="s">
        <v>25</v>
      </c>
      <c r="I1170" s="18" t="s">
        <v>26</v>
      </c>
      <c r="J1170" s="15" t="n">
        <v>2002</v>
      </c>
      <c r="K1170" s="19" t="s">
        <v>27</v>
      </c>
      <c r="L1170" s="15" t="s">
        <v>28</v>
      </c>
      <c r="M1170" s="15" t="s">
        <v>33</v>
      </c>
      <c r="N1170" s="17" t="s">
        <v>279</v>
      </c>
      <c r="O1170" s="15"/>
      <c r="P1170" s="15"/>
      <c r="Q1170" s="21" t="s">
        <v>280</v>
      </c>
      <c r="R1170" s="21"/>
      <c r="S1170" s="21"/>
      <c r="T1170" s="31" t="n">
        <v>45882</v>
      </c>
      <c r="U1170" s="24" t="s">
        <v>2665</v>
      </c>
    </row>
    <row r="1171" s="25" customFormat="true" ht="41.4" hidden="false" customHeight="false" outlineLevel="0" collapsed="false">
      <c r="A1171" s="36" t="s">
        <v>2666</v>
      </c>
      <c r="B1171" s="26"/>
      <c r="C1171" s="14"/>
      <c r="D1171" s="15" t="n">
        <v>4</v>
      </c>
      <c r="E1171" s="16" t="n">
        <f aca="false">F1171/2</f>
        <v>50</v>
      </c>
      <c r="F1171" s="16" t="n">
        <v>100</v>
      </c>
      <c r="G1171" s="15" t="s">
        <v>36</v>
      </c>
      <c r="H1171" s="17" t="s">
        <v>25</v>
      </c>
      <c r="I1171" s="18" t="s">
        <v>26</v>
      </c>
      <c r="J1171" s="15" t="n">
        <v>2015</v>
      </c>
      <c r="K1171" s="19" t="s">
        <v>2667</v>
      </c>
      <c r="L1171" s="15" t="s">
        <v>28</v>
      </c>
      <c r="M1171" s="15" t="s">
        <v>33</v>
      </c>
      <c r="N1171" s="17"/>
      <c r="O1171" s="15"/>
      <c r="P1171" s="15"/>
      <c r="Q1171" s="21"/>
      <c r="R1171" s="21"/>
      <c r="S1171" s="21"/>
      <c r="T1171" s="28"/>
      <c r="U1171" s="24"/>
    </row>
    <row r="1172" s="25" customFormat="true" ht="41.4" hidden="false" customHeight="false" outlineLevel="0" collapsed="false">
      <c r="A1172" s="36" t="s">
        <v>2668</v>
      </c>
      <c r="B1172" s="26" t="s">
        <v>2669</v>
      </c>
      <c r="C1172" s="14" t="s">
        <v>246</v>
      </c>
      <c r="D1172" s="15" t="n">
        <v>6</v>
      </c>
      <c r="E1172" s="27" t="n">
        <f aca="false">F1172/2</f>
        <v>10358.5</v>
      </c>
      <c r="F1172" s="38" t="n">
        <v>20717</v>
      </c>
      <c r="G1172" s="15" t="s">
        <v>36</v>
      </c>
      <c r="H1172" s="17" t="s">
        <v>25</v>
      </c>
      <c r="I1172" s="18" t="s">
        <v>26</v>
      </c>
      <c r="J1172" s="15" t="n">
        <v>2017</v>
      </c>
      <c r="K1172" s="19" t="s">
        <v>27</v>
      </c>
      <c r="L1172" s="15" t="s">
        <v>28</v>
      </c>
      <c r="M1172" s="15" t="s">
        <v>33</v>
      </c>
      <c r="N1172" s="20" t="s">
        <v>637</v>
      </c>
      <c r="O1172" s="15"/>
      <c r="P1172" s="15"/>
      <c r="Q1172" s="21" t="s">
        <v>247</v>
      </c>
      <c r="R1172" s="21"/>
      <c r="S1172" s="21"/>
      <c r="T1172" s="31" t="n">
        <v>45882</v>
      </c>
      <c r="U1172" s="24" t="s">
        <v>248</v>
      </c>
    </row>
    <row r="1173" s="25" customFormat="true" ht="41.4" hidden="false" customHeight="false" outlineLevel="0" collapsed="false">
      <c r="A1173" s="36" t="s">
        <v>2670</v>
      </c>
      <c r="B1173" s="26" t="s">
        <v>2671</v>
      </c>
      <c r="C1173" s="14" t="s">
        <v>246</v>
      </c>
      <c r="D1173" s="15" t="n">
        <v>4</v>
      </c>
      <c r="E1173" s="27" t="n">
        <f aca="false">F1173/2</f>
        <v>8486.5</v>
      </c>
      <c r="F1173" s="38" t="n">
        <v>16973</v>
      </c>
      <c r="G1173" s="15" t="s">
        <v>36</v>
      </c>
      <c r="H1173" s="17" t="s">
        <v>25</v>
      </c>
      <c r="I1173" s="18" t="s">
        <v>26</v>
      </c>
      <c r="J1173" s="15" t="n">
        <v>2017</v>
      </c>
      <c r="K1173" s="19" t="s">
        <v>27</v>
      </c>
      <c r="L1173" s="15" t="s">
        <v>28</v>
      </c>
      <c r="M1173" s="15" t="s">
        <v>33</v>
      </c>
      <c r="N1173" s="20" t="s">
        <v>96</v>
      </c>
      <c r="O1173" s="15"/>
      <c r="P1173" s="15"/>
      <c r="Q1173" s="21" t="s">
        <v>247</v>
      </c>
      <c r="R1173" s="21"/>
      <c r="S1173" s="21"/>
      <c r="T1173" s="31" t="n">
        <v>45882</v>
      </c>
      <c r="U1173" s="24" t="s">
        <v>248</v>
      </c>
    </row>
    <row r="1174" s="25" customFormat="true" ht="55.2" hidden="false" customHeight="false" outlineLevel="0" collapsed="false">
      <c r="A1174" s="36" t="s">
        <v>2672</v>
      </c>
      <c r="B1174" s="26" t="s">
        <v>2673</v>
      </c>
      <c r="C1174" s="14" t="s">
        <v>2674</v>
      </c>
      <c r="D1174" s="15" t="n">
        <v>6</v>
      </c>
      <c r="E1174" s="27" t="n">
        <f aca="false">F1174/2</f>
        <v>500</v>
      </c>
      <c r="F1174" s="16" t="n">
        <v>1000</v>
      </c>
      <c r="G1174" s="15" t="s">
        <v>24</v>
      </c>
      <c r="H1174" s="17" t="s">
        <v>25</v>
      </c>
      <c r="I1174" s="18" t="s">
        <v>26</v>
      </c>
      <c r="J1174" s="15" t="n">
        <v>2006</v>
      </c>
      <c r="K1174" s="19" t="s">
        <v>27</v>
      </c>
      <c r="L1174" s="15" t="s">
        <v>28</v>
      </c>
      <c r="M1174" s="15" t="s">
        <v>33</v>
      </c>
      <c r="N1174" s="17"/>
      <c r="O1174" s="15"/>
      <c r="P1174" s="15"/>
      <c r="Q1174" s="21" t="s">
        <v>47</v>
      </c>
      <c r="R1174" s="21"/>
      <c r="S1174" s="21"/>
      <c r="T1174" s="31" t="n">
        <v>45904</v>
      </c>
      <c r="U1174" s="24" t="s">
        <v>2675</v>
      </c>
    </row>
    <row r="1175" s="25" customFormat="true" ht="41.4" hidden="false" customHeight="false" outlineLevel="0" collapsed="false">
      <c r="A1175" s="36" t="s">
        <v>2676</v>
      </c>
      <c r="B1175" s="26" t="s">
        <v>2677</v>
      </c>
      <c r="C1175" s="14" t="s">
        <v>148</v>
      </c>
      <c r="D1175" s="15" t="n">
        <v>6</v>
      </c>
      <c r="E1175" s="27" t="n">
        <f aca="false">F1175/2</f>
        <v>3302</v>
      </c>
      <c r="F1175" s="35" t="n">
        <f aca="false">FLOOR(5504*1.2,1)</f>
        <v>6604</v>
      </c>
      <c r="G1175" s="15" t="s">
        <v>36</v>
      </c>
      <c r="H1175" s="17" t="s">
        <v>25</v>
      </c>
      <c r="I1175" s="18" t="s">
        <v>26</v>
      </c>
      <c r="J1175" s="15" t="n">
        <v>2020</v>
      </c>
      <c r="K1175" s="19" t="s">
        <v>27</v>
      </c>
      <c r="L1175" s="15" t="s">
        <v>28</v>
      </c>
      <c r="M1175" s="15" t="s">
        <v>33</v>
      </c>
      <c r="N1175" s="17" t="s">
        <v>83</v>
      </c>
      <c r="O1175" s="15"/>
      <c r="P1175" s="15"/>
      <c r="Q1175" s="21"/>
      <c r="R1175" s="21"/>
      <c r="S1175" s="21"/>
      <c r="T1175" s="31" t="n">
        <v>45882</v>
      </c>
      <c r="U1175" s="34"/>
    </row>
    <row r="1176" s="25" customFormat="true" ht="91.2" hidden="false" customHeight="false" outlineLevel="0" collapsed="false">
      <c r="A1176" s="36" t="s">
        <v>2678</v>
      </c>
      <c r="B1176" s="26" t="s">
        <v>2679</v>
      </c>
      <c r="C1176" s="14" t="s">
        <v>182</v>
      </c>
      <c r="D1176" s="15" t="n">
        <v>6</v>
      </c>
      <c r="E1176" s="27" t="n">
        <v>1200</v>
      </c>
      <c r="F1176" s="16" t="n">
        <v>2400</v>
      </c>
      <c r="G1176" s="15" t="s">
        <v>36</v>
      </c>
      <c r="H1176" s="17" t="s">
        <v>25</v>
      </c>
      <c r="I1176" s="18" t="s">
        <v>26</v>
      </c>
      <c r="J1176" s="15" t="n">
        <v>2011</v>
      </c>
      <c r="K1176" s="19" t="s">
        <v>27</v>
      </c>
      <c r="L1176" s="15" t="s">
        <v>28</v>
      </c>
      <c r="M1176" s="15" t="s">
        <v>33</v>
      </c>
      <c r="N1176" s="17" t="s">
        <v>45</v>
      </c>
      <c r="O1176" s="15"/>
      <c r="P1176" s="15"/>
      <c r="Q1176" s="21" t="s">
        <v>862</v>
      </c>
      <c r="R1176" s="21"/>
      <c r="S1176" s="21"/>
      <c r="T1176" s="28"/>
      <c r="U1176" s="24" t="s">
        <v>2680</v>
      </c>
    </row>
    <row r="1177" s="25" customFormat="true" ht="41.4" hidden="false" customHeight="false" outlineLevel="0" collapsed="false">
      <c r="A1177" s="36" t="s">
        <v>2681</v>
      </c>
      <c r="B1177" s="26" t="s">
        <v>2682</v>
      </c>
      <c r="C1177" s="14" t="s">
        <v>547</v>
      </c>
      <c r="D1177" s="15" t="n">
        <v>6</v>
      </c>
      <c r="E1177" s="27" t="n">
        <f aca="false">F1177/2</f>
        <v>3333.5</v>
      </c>
      <c r="F1177" s="16" t="n">
        <v>6667</v>
      </c>
      <c r="G1177" s="15" t="s">
        <v>36</v>
      </c>
      <c r="H1177" s="17" t="s">
        <v>25</v>
      </c>
      <c r="I1177" s="18" t="s">
        <v>26</v>
      </c>
      <c r="J1177" s="15" t="n">
        <v>2006</v>
      </c>
      <c r="K1177" s="19" t="s">
        <v>27</v>
      </c>
      <c r="L1177" s="15" t="s">
        <v>28</v>
      </c>
      <c r="M1177" s="15" t="s">
        <v>33</v>
      </c>
      <c r="N1177" s="20" t="s">
        <v>83</v>
      </c>
      <c r="O1177" s="15"/>
      <c r="P1177" s="15"/>
      <c r="Q1177" s="21"/>
      <c r="R1177" s="21"/>
      <c r="S1177" s="21"/>
      <c r="T1177" s="28"/>
      <c r="U1177" s="34"/>
    </row>
    <row r="1178" s="25" customFormat="true" ht="41.4" hidden="false" customHeight="false" outlineLevel="0" collapsed="false">
      <c r="A1178" s="59" t="s">
        <v>2683</v>
      </c>
      <c r="B1178" s="26"/>
      <c r="C1178" s="14" t="s">
        <v>2684</v>
      </c>
      <c r="D1178" s="15" t="n">
        <v>4</v>
      </c>
      <c r="E1178" s="27" t="n">
        <f aca="false">F1178/2</f>
        <v>4320</v>
      </c>
      <c r="F1178" s="16" t="n">
        <f aca="false">7200*1.2</f>
        <v>8640</v>
      </c>
      <c r="G1178" s="15" t="s">
        <v>36</v>
      </c>
      <c r="H1178" s="17" t="s">
        <v>25</v>
      </c>
      <c r="I1178" s="18" t="s">
        <v>26</v>
      </c>
      <c r="J1178" s="15" t="n">
        <v>2024</v>
      </c>
      <c r="K1178" s="19" t="s">
        <v>27</v>
      </c>
      <c r="L1178" s="15" t="s">
        <v>28</v>
      </c>
      <c r="M1178" s="15" t="s">
        <v>33</v>
      </c>
      <c r="N1178" s="17" t="s">
        <v>83</v>
      </c>
      <c r="O1178" s="15"/>
      <c r="P1178" s="15"/>
      <c r="Q1178" s="21"/>
      <c r="R1178" s="21"/>
      <c r="S1178" s="21"/>
      <c r="T1178" s="28"/>
      <c r="U1178" s="24"/>
    </row>
    <row r="1179" s="25" customFormat="true" ht="41.4" hidden="false" customHeight="false" outlineLevel="0" collapsed="false">
      <c r="A1179" s="36" t="s">
        <v>2685</v>
      </c>
      <c r="B1179" s="26" t="s">
        <v>2686</v>
      </c>
      <c r="C1179" s="14" t="s">
        <v>2687</v>
      </c>
      <c r="D1179" s="15" t="n">
        <v>12</v>
      </c>
      <c r="E1179" s="27" t="n">
        <f aca="false">F1179/2</f>
        <v>50</v>
      </c>
      <c r="F1179" s="16" t="n">
        <v>100</v>
      </c>
      <c r="G1179" s="15" t="s">
        <v>36</v>
      </c>
      <c r="H1179" s="17" t="s">
        <v>25</v>
      </c>
      <c r="I1179" s="18" t="s">
        <v>26</v>
      </c>
      <c r="J1179" s="15" t="n">
        <v>2017</v>
      </c>
      <c r="K1179" s="19" t="s">
        <v>27</v>
      </c>
      <c r="L1179" s="15" t="s">
        <v>28</v>
      </c>
      <c r="M1179" s="15" t="s">
        <v>33</v>
      </c>
      <c r="N1179" s="17" t="s">
        <v>1019</v>
      </c>
      <c r="O1179" s="15"/>
      <c r="P1179" s="15"/>
      <c r="Q1179" s="21"/>
      <c r="R1179" s="21"/>
      <c r="S1179" s="21"/>
      <c r="T1179" s="28"/>
      <c r="U1179" s="24"/>
    </row>
    <row r="1180" s="25" customFormat="true" ht="41.4" hidden="false" customHeight="false" outlineLevel="0" collapsed="false">
      <c r="A1180" s="36" t="s">
        <v>2688</v>
      </c>
      <c r="B1180" s="26"/>
      <c r="C1180" s="14" t="s">
        <v>1027</v>
      </c>
      <c r="D1180" s="15" t="n">
        <v>2</v>
      </c>
      <c r="E1180" s="27" t="n">
        <f aca="false">F1180/2</f>
        <v>50</v>
      </c>
      <c r="F1180" s="16" t="n">
        <v>100</v>
      </c>
      <c r="G1180" s="15" t="s">
        <v>36</v>
      </c>
      <c r="H1180" s="17" t="s">
        <v>25</v>
      </c>
      <c r="I1180" s="18" t="s">
        <v>26</v>
      </c>
      <c r="J1180" s="15" t="n">
        <v>2025</v>
      </c>
      <c r="K1180" s="19" t="s">
        <v>27</v>
      </c>
      <c r="L1180" s="15" t="s">
        <v>28</v>
      </c>
      <c r="M1180" s="15" t="s">
        <v>33</v>
      </c>
      <c r="N1180" s="17" t="s">
        <v>719</v>
      </c>
      <c r="O1180" s="15"/>
      <c r="P1180" s="15"/>
      <c r="Q1180" s="21"/>
      <c r="R1180" s="21"/>
      <c r="S1180" s="21"/>
      <c r="T1180" s="28"/>
      <c r="U1180" s="24"/>
    </row>
    <row r="1181" s="25" customFormat="true" ht="41.4" hidden="false" customHeight="false" outlineLevel="0" collapsed="false">
      <c r="A1181" s="36" t="s">
        <v>2689</v>
      </c>
      <c r="B1181" s="26" t="s">
        <v>2690</v>
      </c>
      <c r="C1181" s="14" t="s">
        <v>239</v>
      </c>
      <c r="D1181" s="15" t="n">
        <v>12</v>
      </c>
      <c r="E1181" s="27" t="n">
        <f aca="false">F1181/2</f>
        <v>13860</v>
      </c>
      <c r="F1181" s="16" t="n">
        <f aca="false">6*4620</f>
        <v>27720</v>
      </c>
      <c r="G1181" s="15" t="s">
        <v>36</v>
      </c>
      <c r="H1181" s="17" t="s">
        <v>25</v>
      </c>
      <c r="I1181" s="18" t="s">
        <v>26</v>
      </c>
      <c r="J1181" s="30" t="n">
        <v>2018</v>
      </c>
      <c r="K1181" s="19" t="s">
        <v>27</v>
      </c>
      <c r="L1181" s="15" t="s">
        <v>28</v>
      </c>
      <c r="M1181" s="15" t="s">
        <v>33</v>
      </c>
      <c r="N1181" s="82" t="s">
        <v>53</v>
      </c>
      <c r="O1181" s="60"/>
      <c r="P1181" s="15"/>
      <c r="Q1181" s="21"/>
      <c r="R1181" s="21"/>
      <c r="S1181" s="21"/>
      <c r="T1181" s="31" t="n">
        <v>45880</v>
      </c>
      <c r="U1181" s="24"/>
    </row>
    <row r="1182" s="25" customFormat="true" ht="41.4" hidden="false" customHeight="false" outlineLevel="0" collapsed="false">
      <c r="A1182" s="36" t="s">
        <v>2691</v>
      </c>
      <c r="B1182" s="26" t="s">
        <v>2692</v>
      </c>
      <c r="C1182" s="14" t="s">
        <v>95</v>
      </c>
      <c r="D1182" s="15" t="n">
        <v>6</v>
      </c>
      <c r="E1182" s="27" t="n">
        <f aca="false">F1182/2</f>
        <v>9360</v>
      </c>
      <c r="F1182" s="16" t="n">
        <f aca="false">6*2600*1.2</f>
        <v>18720</v>
      </c>
      <c r="G1182" s="15" t="s">
        <v>36</v>
      </c>
      <c r="H1182" s="17" t="s">
        <v>25</v>
      </c>
      <c r="I1182" s="18" t="s">
        <v>26</v>
      </c>
      <c r="J1182" s="15" t="n">
        <v>2012</v>
      </c>
      <c r="K1182" s="19" t="s">
        <v>27</v>
      </c>
      <c r="L1182" s="15" t="s">
        <v>28</v>
      </c>
      <c r="M1182" s="15" t="s">
        <v>33</v>
      </c>
      <c r="N1182" s="17" t="s">
        <v>72</v>
      </c>
      <c r="O1182" s="15" t="s">
        <v>54</v>
      </c>
      <c r="P1182" s="15"/>
      <c r="Q1182" s="21" t="s">
        <v>73</v>
      </c>
      <c r="R1182" s="21"/>
      <c r="S1182" s="21"/>
      <c r="T1182" s="31" t="n">
        <v>45880</v>
      </c>
      <c r="U1182" s="24"/>
    </row>
    <row r="1183" s="25" customFormat="true" ht="41.4" hidden="false" customHeight="false" outlineLevel="0" collapsed="false">
      <c r="A1183" s="36" t="s">
        <v>2693</v>
      </c>
      <c r="B1183" s="26" t="s">
        <v>2694</v>
      </c>
      <c r="C1183" s="14"/>
      <c r="D1183" s="15" t="n">
        <v>6</v>
      </c>
      <c r="E1183" s="27" t="n">
        <f aca="false">F1183/2</f>
        <v>2970</v>
      </c>
      <c r="F1183" s="16" t="n">
        <v>5940</v>
      </c>
      <c r="G1183" s="15" t="s">
        <v>36</v>
      </c>
      <c r="H1183" s="17" t="s">
        <v>25</v>
      </c>
      <c r="I1183" s="18" t="s">
        <v>26</v>
      </c>
      <c r="J1183" s="15" t="n">
        <v>2020</v>
      </c>
      <c r="K1183" s="19" t="s">
        <v>27</v>
      </c>
      <c r="L1183" s="15" t="s">
        <v>28</v>
      </c>
      <c r="M1183" s="15" t="s">
        <v>33</v>
      </c>
      <c r="N1183" s="17" t="s">
        <v>83</v>
      </c>
      <c r="O1183" s="15"/>
      <c r="P1183" s="15"/>
      <c r="Q1183" s="21"/>
      <c r="R1183" s="21"/>
      <c r="S1183" s="21"/>
      <c r="T1183" s="28"/>
      <c r="U1183" s="34"/>
    </row>
    <row r="1184" s="25" customFormat="true" ht="41.4" hidden="false" customHeight="false" outlineLevel="0" collapsed="false">
      <c r="A1184" s="36" t="s">
        <v>2695</v>
      </c>
      <c r="B1184" s="26" t="s">
        <v>2696</v>
      </c>
      <c r="C1184" s="70" t="s">
        <v>246</v>
      </c>
      <c r="D1184" s="15" t="n">
        <v>6</v>
      </c>
      <c r="E1184" s="27" t="n">
        <f aca="false">F1184/2</f>
        <v>6080</v>
      </c>
      <c r="F1184" s="38" t="n">
        <v>12160</v>
      </c>
      <c r="G1184" s="15" t="s">
        <v>36</v>
      </c>
      <c r="H1184" s="17" t="s">
        <v>25</v>
      </c>
      <c r="I1184" s="18" t="s">
        <v>26</v>
      </c>
      <c r="J1184" s="15" t="n">
        <v>2017</v>
      </c>
      <c r="K1184" s="19" t="s">
        <v>27</v>
      </c>
      <c r="L1184" s="15" t="s">
        <v>28</v>
      </c>
      <c r="M1184" s="15" t="s">
        <v>33</v>
      </c>
      <c r="N1184" s="20" t="s">
        <v>96</v>
      </c>
      <c r="O1184" s="15"/>
      <c r="P1184" s="15"/>
      <c r="Q1184" s="21" t="s">
        <v>247</v>
      </c>
      <c r="R1184" s="21"/>
      <c r="S1184" s="21"/>
      <c r="T1184" s="31" t="n">
        <v>45882</v>
      </c>
      <c r="U1184" s="24" t="s">
        <v>248</v>
      </c>
    </row>
    <row r="1185" s="25" customFormat="true" ht="41.4" hidden="false" customHeight="false" outlineLevel="0" collapsed="false">
      <c r="A1185" s="36" t="s">
        <v>2697</v>
      </c>
      <c r="B1185" s="26" t="s">
        <v>2698</v>
      </c>
      <c r="C1185" s="70" t="s">
        <v>434</v>
      </c>
      <c r="D1185" s="15" t="n">
        <v>12</v>
      </c>
      <c r="E1185" s="27" t="n">
        <f aca="false">F1185/2</f>
        <v>40800</v>
      </c>
      <c r="F1185" s="16" t="n">
        <v>81600</v>
      </c>
      <c r="G1185" s="15" t="s">
        <v>36</v>
      </c>
      <c r="H1185" s="17" t="s">
        <v>25</v>
      </c>
      <c r="I1185" s="18" t="s">
        <v>26</v>
      </c>
      <c r="J1185" s="15" t="n">
        <v>2020</v>
      </c>
      <c r="K1185" s="19" t="s">
        <v>27</v>
      </c>
      <c r="L1185" s="15" t="s">
        <v>28</v>
      </c>
      <c r="M1185" s="15" t="s">
        <v>33</v>
      </c>
      <c r="N1185" s="20"/>
      <c r="O1185" s="15"/>
      <c r="P1185" s="15"/>
      <c r="Q1185" s="21" t="s">
        <v>78</v>
      </c>
      <c r="R1185" s="21"/>
      <c r="S1185" s="21"/>
      <c r="T1185" s="31" t="n">
        <v>45880</v>
      </c>
      <c r="U1185" s="34"/>
    </row>
    <row r="1186" s="25" customFormat="true" ht="41.4" hidden="false" customHeight="false" outlineLevel="0" collapsed="false">
      <c r="A1186" s="12" t="s">
        <v>2699</v>
      </c>
      <c r="B1186" s="26" t="s">
        <v>2700</v>
      </c>
      <c r="C1186" s="14" t="s">
        <v>2701</v>
      </c>
      <c r="D1186" s="15" t="n">
        <v>4</v>
      </c>
      <c r="E1186" s="27" t="n">
        <f aca="false">F1186/2</f>
        <v>403</v>
      </c>
      <c r="F1186" s="16" t="n">
        <v>806</v>
      </c>
      <c r="G1186" s="15" t="s">
        <v>36</v>
      </c>
      <c r="H1186" s="17" t="s">
        <v>25</v>
      </c>
      <c r="I1186" s="18" t="s">
        <v>26</v>
      </c>
      <c r="J1186" s="15" t="n">
        <v>2014</v>
      </c>
      <c r="K1186" s="19" t="s">
        <v>1807</v>
      </c>
      <c r="L1186" s="15" t="s">
        <v>28</v>
      </c>
      <c r="M1186" s="15" t="s">
        <v>33</v>
      </c>
      <c r="N1186" s="17" t="s">
        <v>96</v>
      </c>
      <c r="O1186" s="15" t="s">
        <v>54</v>
      </c>
      <c r="P1186" s="15"/>
      <c r="Q1186" s="21" t="s">
        <v>78</v>
      </c>
      <c r="R1186" s="21"/>
      <c r="S1186" s="21"/>
      <c r="T1186" s="28"/>
      <c r="U1186" s="24"/>
    </row>
    <row r="1187" s="25" customFormat="true" ht="41.4" hidden="false" customHeight="false" outlineLevel="0" collapsed="false">
      <c r="A1187" s="12" t="s">
        <v>2702</v>
      </c>
      <c r="B1187" s="26"/>
      <c r="C1187" s="14" t="s">
        <v>2703</v>
      </c>
      <c r="D1187" s="15" t="n">
        <v>4</v>
      </c>
      <c r="E1187" s="27" t="n">
        <f aca="false">F1187/2</f>
        <v>50</v>
      </c>
      <c r="F1187" s="16" t="n">
        <v>100</v>
      </c>
      <c r="G1187" s="15" t="s">
        <v>36</v>
      </c>
      <c r="H1187" s="17" t="s">
        <v>25</v>
      </c>
      <c r="I1187" s="18" t="s">
        <v>26</v>
      </c>
      <c r="J1187" s="15" t="n">
        <v>2025</v>
      </c>
      <c r="K1187" s="83" t="s">
        <v>2704</v>
      </c>
      <c r="L1187" s="15" t="s">
        <v>28</v>
      </c>
      <c r="M1187" s="15" t="s">
        <v>33</v>
      </c>
      <c r="N1187" s="17" t="s">
        <v>671</v>
      </c>
      <c r="O1187" s="15" t="s">
        <v>46</v>
      </c>
      <c r="P1187" s="15"/>
      <c r="Q1187" s="21" t="s">
        <v>2705</v>
      </c>
      <c r="R1187" s="21"/>
      <c r="S1187" s="21" t="s">
        <v>113</v>
      </c>
      <c r="T1187" s="31" t="n">
        <v>45846</v>
      </c>
      <c r="U1187" s="24"/>
    </row>
    <row r="1188" s="25" customFormat="true" ht="41.4" hidden="false" customHeight="false" outlineLevel="0" collapsed="false">
      <c r="A1188" s="36" t="s">
        <v>2706</v>
      </c>
      <c r="B1188" s="26" t="s">
        <v>2707</v>
      </c>
      <c r="C1188" s="70" t="s">
        <v>1350</v>
      </c>
      <c r="D1188" s="15" t="n">
        <v>4</v>
      </c>
      <c r="E1188" s="27" t="n">
        <f aca="false">F1188/2</f>
        <v>3600</v>
      </c>
      <c r="F1188" s="16" t="n">
        <v>7200</v>
      </c>
      <c r="G1188" s="15" t="s">
        <v>36</v>
      </c>
      <c r="H1188" s="17" t="s">
        <v>25</v>
      </c>
      <c r="I1188" s="18" t="s">
        <v>26</v>
      </c>
      <c r="J1188" s="15"/>
      <c r="K1188" s="19" t="s">
        <v>27</v>
      </c>
      <c r="L1188" s="15" t="s">
        <v>28</v>
      </c>
      <c r="M1188" s="15" t="s">
        <v>33</v>
      </c>
      <c r="N1188" s="17"/>
      <c r="O1188" s="15"/>
      <c r="P1188" s="15"/>
      <c r="Q1188" s="21" t="s">
        <v>78</v>
      </c>
      <c r="R1188" s="21"/>
      <c r="S1188" s="21"/>
      <c r="T1188" s="28"/>
      <c r="U1188" s="24"/>
    </row>
    <row r="1189" s="25" customFormat="true" ht="41.4" hidden="false" customHeight="false" outlineLevel="0" collapsed="false">
      <c r="A1189" s="63" t="s">
        <v>2708</v>
      </c>
      <c r="B1189" s="26"/>
      <c r="C1189" s="70" t="s">
        <v>264</v>
      </c>
      <c r="D1189" s="30" t="n">
        <v>12</v>
      </c>
      <c r="E1189" s="16" t="n">
        <f aca="false">F1189/2</f>
        <v>69768</v>
      </c>
      <c r="F1189" s="16" t="n">
        <v>139536</v>
      </c>
      <c r="G1189" s="15" t="s">
        <v>36</v>
      </c>
      <c r="H1189" s="17" t="s">
        <v>25</v>
      </c>
      <c r="I1189" s="18" t="s">
        <v>26</v>
      </c>
      <c r="J1189" s="15" t="n">
        <v>2024</v>
      </c>
      <c r="K1189" s="19" t="s">
        <v>27</v>
      </c>
      <c r="L1189" s="15" t="s">
        <v>28</v>
      </c>
      <c r="M1189" s="15" t="s">
        <v>33</v>
      </c>
      <c r="N1189" s="17" t="s">
        <v>375</v>
      </c>
      <c r="O1189" s="60"/>
      <c r="P1189" s="60"/>
      <c r="Q1189" s="21"/>
      <c r="R1189" s="21"/>
      <c r="S1189" s="40"/>
      <c r="T1189" s="31" t="n">
        <v>45880</v>
      </c>
      <c r="U1189" s="41"/>
    </row>
    <row r="1190" s="25" customFormat="true" ht="41.4" hidden="false" customHeight="false" outlineLevel="0" collapsed="false">
      <c r="A1190" s="36" t="s">
        <v>2709</v>
      </c>
      <c r="B1190" s="26" t="s">
        <v>2710</v>
      </c>
      <c r="C1190" s="14"/>
      <c r="D1190" s="15" t="n">
        <v>12</v>
      </c>
      <c r="E1190" s="27" t="n">
        <v>34200</v>
      </c>
      <c r="F1190" s="16" t="n">
        <v>68400</v>
      </c>
      <c r="G1190" s="15" t="s">
        <v>36</v>
      </c>
      <c r="H1190" s="17" t="s">
        <v>25</v>
      </c>
      <c r="I1190" s="18" t="s">
        <v>26</v>
      </c>
      <c r="J1190" s="15" t="n">
        <v>2017</v>
      </c>
      <c r="K1190" s="19" t="s">
        <v>27</v>
      </c>
      <c r="L1190" s="15" t="s">
        <v>28</v>
      </c>
      <c r="M1190" s="15" t="s">
        <v>33</v>
      </c>
      <c r="N1190" s="17" t="s">
        <v>126</v>
      </c>
      <c r="O1190" s="15"/>
      <c r="P1190" s="15"/>
      <c r="Q1190" s="21"/>
      <c r="R1190" s="21"/>
      <c r="S1190" s="21"/>
      <c r="T1190" s="28"/>
      <c r="U1190" s="24"/>
    </row>
    <row r="1191" s="25" customFormat="true" ht="41.4" hidden="false" customHeight="false" outlineLevel="0" collapsed="false">
      <c r="A1191" s="36" t="s">
        <v>2711</v>
      </c>
      <c r="B1191" s="26" t="s">
        <v>2712</v>
      </c>
      <c r="C1191" s="14" t="s">
        <v>1065</v>
      </c>
      <c r="D1191" s="15" t="n">
        <v>6</v>
      </c>
      <c r="E1191" s="27" t="n">
        <f aca="false">F1191/2</f>
        <v>20475</v>
      </c>
      <c r="F1191" s="16" t="n">
        <f aca="false">39000*1.05</f>
        <v>40950</v>
      </c>
      <c r="G1191" s="15" t="s">
        <v>36</v>
      </c>
      <c r="H1191" s="17" t="s">
        <v>25</v>
      </c>
      <c r="I1191" s="18" t="s">
        <v>26</v>
      </c>
      <c r="J1191" s="15" t="n">
        <v>2023</v>
      </c>
      <c r="K1191" s="19" t="s">
        <v>27</v>
      </c>
      <c r="L1191" s="15" t="s">
        <v>28</v>
      </c>
      <c r="M1191" s="15" t="s">
        <v>33</v>
      </c>
      <c r="N1191" s="17" t="s">
        <v>126</v>
      </c>
      <c r="O1191" s="15"/>
      <c r="P1191" s="15"/>
      <c r="Q1191" s="21" t="s">
        <v>78</v>
      </c>
      <c r="R1191" s="21"/>
      <c r="S1191" s="21"/>
      <c r="T1191" s="31" t="n">
        <v>45856</v>
      </c>
      <c r="U1191" s="24"/>
    </row>
    <row r="1192" s="25" customFormat="true" ht="41.4" hidden="false" customHeight="false" outlineLevel="0" collapsed="false">
      <c r="A1192" s="36" t="s">
        <v>2713</v>
      </c>
      <c r="B1192" s="26"/>
      <c r="C1192" s="14" t="s">
        <v>122</v>
      </c>
      <c r="D1192" s="15" t="n">
        <v>12</v>
      </c>
      <c r="E1192" s="27" t="n">
        <v>14190</v>
      </c>
      <c r="F1192" s="16" t="n">
        <v>28380</v>
      </c>
      <c r="G1192" s="15" t="s">
        <v>36</v>
      </c>
      <c r="H1192" s="17" t="s">
        <v>25</v>
      </c>
      <c r="I1192" s="18" t="s">
        <v>26</v>
      </c>
      <c r="J1192" s="15" t="n">
        <v>2025</v>
      </c>
      <c r="K1192" s="19" t="s">
        <v>27</v>
      </c>
      <c r="L1192" s="15" t="s">
        <v>28</v>
      </c>
      <c r="M1192" s="15" t="s">
        <v>33</v>
      </c>
      <c r="N1192" s="17"/>
      <c r="O1192" s="15"/>
      <c r="P1192" s="15"/>
      <c r="Q1192" s="21"/>
      <c r="R1192" s="21"/>
      <c r="S1192" s="21"/>
      <c r="T1192" s="28"/>
      <c r="U1192" s="24"/>
    </row>
    <row r="1193" s="25" customFormat="true" ht="41.4" hidden="false" customHeight="false" outlineLevel="0" collapsed="false">
      <c r="A1193" s="36" t="s">
        <v>2714</v>
      </c>
      <c r="B1193" s="26" t="s">
        <v>2715</v>
      </c>
      <c r="C1193" s="14" t="s">
        <v>1776</v>
      </c>
      <c r="D1193" s="15" t="n">
        <v>6</v>
      </c>
      <c r="E1193" s="27" t="n">
        <f aca="false">F1193/2</f>
        <v>24336</v>
      </c>
      <c r="F1193" s="16" t="n">
        <f aca="false">CEILING(40560*1.2,1)</f>
        <v>48672</v>
      </c>
      <c r="G1193" s="15" t="s">
        <v>36</v>
      </c>
      <c r="H1193" s="17" t="s">
        <v>25</v>
      </c>
      <c r="I1193" s="18" t="s">
        <v>26</v>
      </c>
      <c r="J1193" s="15" t="n">
        <v>2022</v>
      </c>
      <c r="K1193" s="19" t="s">
        <v>27</v>
      </c>
      <c r="L1193" s="15" t="s">
        <v>28</v>
      </c>
      <c r="M1193" s="15" t="s">
        <v>33</v>
      </c>
      <c r="N1193" s="20" t="s">
        <v>431</v>
      </c>
      <c r="O1193" s="15"/>
      <c r="P1193" s="15"/>
      <c r="Q1193" s="21"/>
      <c r="R1193" s="21"/>
      <c r="S1193" s="21"/>
      <c r="T1193" s="31" t="n">
        <v>45919</v>
      </c>
      <c r="U1193" s="34"/>
    </row>
    <row r="1194" s="25" customFormat="true" ht="41.4" hidden="false" customHeight="false" outlineLevel="0" collapsed="false">
      <c r="A1194" s="36" t="s">
        <v>2716</v>
      </c>
      <c r="B1194" s="26" t="s">
        <v>2717</v>
      </c>
      <c r="C1194" s="14" t="s">
        <v>122</v>
      </c>
      <c r="D1194" s="15" t="n">
        <v>12</v>
      </c>
      <c r="E1194" s="27" t="n">
        <v>23628</v>
      </c>
      <c r="F1194" s="16" t="n">
        <v>39204</v>
      </c>
      <c r="G1194" s="15" t="s">
        <v>36</v>
      </c>
      <c r="H1194" s="17" t="s">
        <v>25</v>
      </c>
      <c r="I1194" s="18" t="s">
        <v>26</v>
      </c>
      <c r="J1194" s="15" t="n">
        <v>2017</v>
      </c>
      <c r="K1194" s="19" t="s">
        <v>27</v>
      </c>
      <c r="L1194" s="15" t="s">
        <v>28</v>
      </c>
      <c r="M1194" s="15" t="s">
        <v>33</v>
      </c>
      <c r="N1194" s="20" t="s">
        <v>431</v>
      </c>
      <c r="O1194" s="15"/>
      <c r="P1194" s="15"/>
      <c r="Q1194" s="21"/>
      <c r="R1194" s="21"/>
      <c r="S1194" s="21"/>
      <c r="T1194" s="28"/>
      <c r="U1194" s="24"/>
    </row>
    <row r="1195" s="25" customFormat="true" ht="41.4" hidden="false" customHeight="false" outlineLevel="0" collapsed="false">
      <c r="A1195" s="36" t="s">
        <v>2718</v>
      </c>
      <c r="B1195" s="26" t="s">
        <v>2719</v>
      </c>
      <c r="C1195" s="14" t="s">
        <v>465</v>
      </c>
      <c r="D1195" s="15" t="n">
        <v>12</v>
      </c>
      <c r="E1195" s="27" t="n">
        <f aca="false">F1195/2</f>
        <v>29592</v>
      </c>
      <c r="F1195" s="16" t="n">
        <v>59184</v>
      </c>
      <c r="G1195" s="15" t="s">
        <v>36</v>
      </c>
      <c r="H1195" s="17" t="s">
        <v>25</v>
      </c>
      <c r="I1195" s="18" t="s">
        <v>26</v>
      </c>
      <c r="J1195" s="15" t="n">
        <v>2021</v>
      </c>
      <c r="K1195" s="19" t="s">
        <v>27</v>
      </c>
      <c r="L1195" s="15" t="s">
        <v>28</v>
      </c>
      <c r="M1195" s="15" t="s">
        <v>33</v>
      </c>
      <c r="N1195" s="20" t="s">
        <v>397</v>
      </c>
      <c r="O1195" s="15"/>
      <c r="P1195" s="15"/>
      <c r="Q1195" s="21"/>
      <c r="R1195" s="21"/>
      <c r="S1195" s="21"/>
      <c r="T1195" s="31" t="n">
        <v>45859</v>
      </c>
      <c r="U1195" s="34"/>
    </row>
    <row r="1196" customFormat="false" ht="41.4" hidden="false" customHeight="false" outlineLevel="0" collapsed="false">
      <c r="A1196" s="59" t="s">
        <v>2720</v>
      </c>
      <c r="B1196" s="26"/>
      <c r="C1196" s="14" t="s">
        <v>39</v>
      </c>
      <c r="D1196" s="15" t="n">
        <v>6</v>
      </c>
      <c r="E1196" s="27" t="n">
        <f aca="false">F1196/2</f>
        <v>3000</v>
      </c>
      <c r="F1196" s="16" t="n">
        <v>6000</v>
      </c>
      <c r="G1196" s="15" t="s">
        <v>36</v>
      </c>
      <c r="H1196" s="17" t="s">
        <v>25</v>
      </c>
      <c r="I1196" s="18" t="s">
        <v>26</v>
      </c>
      <c r="J1196" s="15" t="n">
        <v>2023</v>
      </c>
      <c r="K1196" s="19" t="s">
        <v>27</v>
      </c>
      <c r="L1196" s="15" t="s">
        <v>28</v>
      </c>
      <c r="M1196" s="15" t="s">
        <v>33</v>
      </c>
      <c r="N1196" s="17"/>
      <c r="O1196" s="15"/>
      <c r="P1196" s="15"/>
      <c r="Q1196" s="21"/>
      <c r="R1196" s="21"/>
      <c r="S1196" s="21"/>
      <c r="T1196" s="28"/>
      <c r="U1196" s="24"/>
      <c r="V1196" s="25"/>
      <c r="W1196" s="25"/>
    </row>
    <row r="1197" customFormat="false" ht="41.4" hidden="false" customHeight="false" outlineLevel="0" collapsed="false">
      <c r="A1197" s="36" t="s">
        <v>2721</v>
      </c>
      <c r="B1197" s="26"/>
      <c r="C1197" s="14" t="s">
        <v>130</v>
      </c>
      <c r="D1197" s="15" t="n">
        <v>1</v>
      </c>
      <c r="E1197" s="27" t="n">
        <f aca="false">F1197/2</f>
        <v>50</v>
      </c>
      <c r="F1197" s="16" t="n">
        <v>100</v>
      </c>
      <c r="G1197" s="15" t="s">
        <v>36</v>
      </c>
      <c r="H1197" s="17" t="s">
        <v>25</v>
      </c>
      <c r="I1197" s="18" t="s">
        <v>26</v>
      </c>
      <c r="J1197" s="15" t="n">
        <v>2023</v>
      </c>
      <c r="K1197" s="19" t="s">
        <v>27</v>
      </c>
      <c r="L1197" s="15" t="s">
        <v>28</v>
      </c>
      <c r="M1197" s="15" t="s">
        <v>33</v>
      </c>
      <c r="N1197" s="17" t="s">
        <v>131</v>
      </c>
      <c r="O1197" s="15"/>
      <c r="P1197" s="15"/>
      <c r="Q1197" s="21"/>
      <c r="R1197" s="21"/>
      <c r="S1197" s="21"/>
      <c r="T1197" s="28"/>
      <c r="U1197" s="24"/>
      <c r="V1197" s="25"/>
      <c r="W1197" s="25"/>
    </row>
    <row r="1198" s="25" customFormat="true" ht="41.4" hidden="false" customHeight="false" outlineLevel="0" collapsed="false">
      <c r="A1198" s="36" t="s">
        <v>2722</v>
      </c>
      <c r="B1198" s="26" t="s">
        <v>2723</v>
      </c>
      <c r="C1198" s="14" t="s">
        <v>531</v>
      </c>
      <c r="D1198" s="15" t="n">
        <v>12</v>
      </c>
      <c r="E1198" s="27" t="n">
        <f aca="false">F1198/2</f>
        <v>4717.5</v>
      </c>
      <c r="F1198" s="16" t="n">
        <v>9435</v>
      </c>
      <c r="G1198" s="15" t="s">
        <v>36</v>
      </c>
      <c r="H1198" s="17" t="s">
        <v>25</v>
      </c>
      <c r="I1198" s="18" t="s">
        <v>26</v>
      </c>
      <c r="J1198" s="15" t="n">
        <v>2020</v>
      </c>
      <c r="K1198" s="19" t="s">
        <v>27</v>
      </c>
      <c r="L1198" s="15" t="s">
        <v>28</v>
      </c>
      <c r="M1198" s="15" t="s">
        <v>33</v>
      </c>
      <c r="N1198" s="20"/>
      <c r="O1198" s="15"/>
      <c r="P1198" s="15"/>
      <c r="Q1198" s="21"/>
      <c r="R1198" s="21"/>
      <c r="S1198" s="21"/>
      <c r="T1198" s="28"/>
      <c r="U1198" s="34"/>
    </row>
    <row r="1199" customFormat="false" ht="41.4" hidden="false" customHeight="false" outlineLevel="0" collapsed="false">
      <c r="A1199" s="36" t="s">
        <v>2724</v>
      </c>
      <c r="B1199" s="26" t="s">
        <v>2725</v>
      </c>
      <c r="C1199" s="14" t="s">
        <v>148</v>
      </c>
      <c r="D1199" s="15" t="n">
        <v>12</v>
      </c>
      <c r="E1199" s="27" t="n">
        <f aca="false">F1199/2</f>
        <v>7420</v>
      </c>
      <c r="F1199" s="35" t="n">
        <f aca="false">FLOOR(12367*1.2,1)</f>
        <v>14840</v>
      </c>
      <c r="G1199" s="15" t="s">
        <v>36</v>
      </c>
      <c r="H1199" s="17" t="s">
        <v>25</v>
      </c>
      <c r="I1199" s="18" t="s">
        <v>26</v>
      </c>
      <c r="J1199" s="15" t="n">
        <v>2020</v>
      </c>
      <c r="K1199" s="19" t="s">
        <v>27</v>
      </c>
      <c r="L1199" s="15" t="s">
        <v>28</v>
      </c>
      <c r="M1199" s="15" t="s">
        <v>33</v>
      </c>
      <c r="N1199" s="17" t="s">
        <v>83</v>
      </c>
      <c r="O1199" s="15"/>
      <c r="P1199" s="15"/>
      <c r="Q1199" s="21"/>
      <c r="R1199" s="21"/>
      <c r="S1199" s="21"/>
      <c r="T1199" s="31" t="n">
        <v>45882</v>
      </c>
      <c r="U1199" s="34"/>
      <c r="V1199" s="25"/>
      <c r="W1199" s="25"/>
    </row>
    <row r="1200" customFormat="false" ht="45.6" hidden="false" customHeight="false" outlineLevel="0" collapsed="false">
      <c r="A1200" s="36" t="s">
        <v>2726</v>
      </c>
      <c r="B1200" s="26" t="s">
        <v>2727</v>
      </c>
      <c r="C1200" s="14"/>
      <c r="D1200" s="15" t="n">
        <v>50</v>
      </c>
      <c r="E1200" s="27" t="n">
        <f aca="false">F1200/2</f>
        <v>1600</v>
      </c>
      <c r="F1200" s="16" t="n">
        <v>3200</v>
      </c>
      <c r="G1200" s="15" t="s">
        <v>354</v>
      </c>
      <c r="H1200" s="17" t="s">
        <v>25</v>
      </c>
      <c r="I1200" s="18" t="s">
        <v>26</v>
      </c>
      <c r="J1200" s="15" t="n">
        <v>1998</v>
      </c>
      <c r="K1200" s="19" t="s">
        <v>27</v>
      </c>
      <c r="L1200" s="15" t="s">
        <v>28</v>
      </c>
      <c r="M1200" s="15" t="s">
        <v>33</v>
      </c>
      <c r="N1200" s="17" t="s">
        <v>343</v>
      </c>
      <c r="O1200" s="15"/>
      <c r="P1200" s="15"/>
      <c r="Q1200" s="21" t="s">
        <v>344</v>
      </c>
      <c r="R1200" s="21"/>
      <c r="S1200" s="21"/>
      <c r="T1200" s="28"/>
      <c r="U1200" s="24" t="s">
        <v>2728</v>
      </c>
      <c r="V1200" s="25"/>
      <c r="W1200" s="25"/>
    </row>
    <row r="1201" customFormat="false" ht="41.4" hidden="false" customHeight="false" outlineLevel="0" collapsed="false">
      <c r="A1201" s="36" t="s">
        <v>2729</v>
      </c>
      <c r="B1201" s="26" t="s">
        <v>2730</v>
      </c>
      <c r="C1201" s="14" t="s">
        <v>401</v>
      </c>
      <c r="D1201" s="15" t="n">
        <v>6</v>
      </c>
      <c r="E1201" s="27" t="n">
        <f aca="false">F1201/2</f>
        <v>4500</v>
      </c>
      <c r="F1201" s="16" t="n">
        <v>9000</v>
      </c>
      <c r="G1201" s="15" t="s">
        <v>36</v>
      </c>
      <c r="H1201" s="17" t="s">
        <v>25</v>
      </c>
      <c r="I1201" s="18" t="s">
        <v>26</v>
      </c>
      <c r="J1201" s="15" t="n">
        <v>2018</v>
      </c>
      <c r="K1201" s="19" t="s">
        <v>27</v>
      </c>
      <c r="L1201" s="15" t="s">
        <v>28</v>
      </c>
      <c r="M1201" s="15" t="s">
        <v>33</v>
      </c>
      <c r="N1201" s="17" t="s">
        <v>45</v>
      </c>
      <c r="O1201" s="15"/>
      <c r="P1201" s="15"/>
      <c r="Q1201" s="21" t="s">
        <v>78</v>
      </c>
      <c r="R1201" s="21"/>
      <c r="S1201" s="21"/>
      <c r="T1201" s="28"/>
      <c r="U1201" s="24"/>
      <c r="V1201" s="25"/>
      <c r="W1201" s="25"/>
    </row>
    <row r="1202" customFormat="false" ht="41.4" hidden="false" customHeight="false" outlineLevel="0" collapsed="false">
      <c r="A1202" s="36" t="s">
        <v>2731</v>
      </c>
      <c r="B1202" s="26" t="s">
        <v>2732</v>
      </c>
      <c r="C1202" s="14" t="s">
        <v>1833</v>
      </c>
      <c r="D1202" s="15" t="n">
        <v>6</v>
      </c>
      <c r="E1202" s="27" t="n">
        <f aca="false">F1202/2</f>
        <v>4200</v>
      </c>
      <c r="F1202" s="16" t="n">
        <v>8400</v>
      </c>
      <c r="G1202" s="15" t="s">
        <v>36</v>
      </c>
      <c r="H1202" s="17" t="s">
        <v>25</v>
      </c>
      <c r="I1202" s="18" t="s">
        <v>26</v>
      </c>
      <c r="J1202" s="15" t="n">
        <v>2020</v>
      </c>
      <c r="K1202" s="19" t="s">
        <v>27</v>
      </c>
      <c r="L1202" s="15" t="s">
        <v>28</v>
      </c>
      <c r="M1202" s="15" t="s">
        <v>33</v>
      </c>
      <c r="N1202" s="17" t="s">
        <v>83</v>
      </c>
      <c r="O1202" s="15" t="s">
        <v>46</v>
      </c>
      <c r="P1202" s="15"/>
      <c r="Q1202" s="21"/>
      <c r="R1202" s="21"/>
      <c r="S1202" s="21"/>
      <c r="T1202" s="28"/>
      <c r="U1202" s="24"/>
      <c r="V1202" s="25"/>
      <c r="W1202" s="25"/>
    </row>
    <row r="1203" customFormat="false" ht="41.4" hidden="false" customHeight="false" outlineLevel="0" collapsed="false">
      <c r="A1203" s="36" t="s">
        <v>2733</v>
      </c>
      <c r="B1203" s="26" t="s">
        <v>2734</v>
      </c>
      <c r="C1203" s="14"/>
      <c r="D1203" s="15" t="n">
        <v>4</v>
      </c>
      <c r="E1203" s="27" t="n">
        <f aca="false">F1203/2</f>
        <v>360</v>
      </c>
      <c r="F1203" s="16" t="n">
        <v>720</v>
      </c>
      <c r="G1203" s="15" t="s">
        <v>354</v>
      </c>
      <c r="H1203" s="17" t="s">
        <v>25</v>
      </c>
      <c r="I1203" s="18" t="s">
        <v>26</v>
      </c>
      <c r="J1203" s="15" t="n">
        <v>2014</v>
      </c>
      <c r="K1203" s="19" t="s">
        <v>1325</v>
      </c>
      <c r="L1203" s="15" t="s">
        <v>28</v>
      </c>
      <c r="M1203" s="15" t="s">
        <v>33</v>
      </c>
      <c r="N1203" s="17" t="s">
        <v>167</v>
      </c>
      <c r="O1203" s="15"/>
      <c r="P1203" s="15"/>
      <c r="Q1203" s="21" t="s">
        <v>302</v>
      </c>
      <c r="R1203" s="21"/>
      <c r="S1203" s="21"/>
      <c r="T1203" s="28"/>
      <c r="U1203" s="24"/>
      <c r="V1203" s="25"/>
      <c r="W1203" s="25"/>
    </row>
    <row r="1204" customFormat="false" ht="41.4" hidden="false" customHeight="false" outlineLevel="0" collapsed="false">
      <c r="A1204" s="36" t="s">
        <v>2735</v>
      </c>
      <c r="B1204" s="26" t="s">
        <v>2736</v>
      </c>
      <c r="C1204" s="14"/>
      <c r="D1204" s="15" t="n">
        <v>12</v>
      </c>
      <c r="E1204" s="27" t="n">
        <v>13500</v>
      </c>
      <c r="F1204" s="16" t="n">
        <v>27000</v>
      </c>
      <c r="G1204" s="15" t="s">
        <v>354</v>
      </c>
      <c r="H1204" s="17" t="s">
        <v>25</v>
      </c>
      <c r="I1204" s="18" t="s">
        <v>26</v>
      </c>
      <c r="J1204" s="15" t="n">
        <v>2017</v>
      </c>
      <c r="K1204" s="19" t="s">
        <v>2047</v>
      </c>
      <c r="L1204" s="15" t="s">
        <v>28</v>
      </c>
      <c r="M1204" s="15" t="s">
        <v>33</v>
      </c>
      <c r="N1204" s="17" t="s">
        <v>167</v>
      </c>
      <c r="O1204" s="15"/>
      <c r="P1204" s="15"/>
      <c r="Q1204" s="21" t="s">
        <v>1005</v>
      </c>
      <c r="R1204" s="21"/>
      <c r="S1204" s="21"/>
      <c r="T1204" s="28"/>
      <c r="U1204" s="24"/>
      <c r="V1204" s="25"/>
      <c r="W1204" s="25"/>
    </row>
    <row r="1205" customFormat="false" ht="41.4" hidden="false" customHeight="false" outlineLevel="0" collapsed="false">
      <c r="A1205" s="36" t="s">
        <v>2737</v>
      </c>
      <c r="B1205" s="26" t="s">
        <v>2738</v>
      </c>
      <c r="C1205" s="14"/>
      <c r="D1205" s="15" t="n">
        <v>4</v>
      </c>
      <c r="E1205" s="27" t="n">
        <f aca="false">F1205/2</f>
        <v>50</v>
      </c>
      <c r="F1205" s="16" t="n">
        <v>100</v>
      </c>
      <c r="G1205" s="15" t="s">
        <v>354</v>
      </c>
      <c r="H1205" s="17" t="s">
        <v>25</v>
      </c>
      <c r="I1205" s="18" t="s">
        <v>26</v>
      </c>
      <c r="J1205" s="15" t="n">
        <v>2014</v>
      </c>
      <c r="K1205" s="19" t="s">
        <v>27</v>
      </c>
      <c r="L1205" s="15" t="s">
        <v>28</v>
      </c>
      <c r="M1205" s="15" t="s">
        <v>33</v>
      </c>
      <c r="N1205" s="17" t="s">
        <v>167</v>
      </c>
      <c r="O1205" s="15" t="s">
        <v>54</v>
      </c>
      <c r="P1205" s="15"/>
      <c r="Q1205" s="21" t="s">
        <v>168</v>
      </c>
      <c r="R1205" s="21"/>
      <c r="S1205" s="21"/>
      <c r="T1205" s="28"/>
      <c r="U1205" s="24"/>
      <c r="V1205" s="25"/>
      <c r="W1205" s="25"/>
    </row>
    <row r="1206" customFormat="false" ht="45.6" hidden="false" customHeight="false" outlineLevel="0" collapsed="false">
      <c r="A1206" s="36" t="s">
        <v>2739</v>
      </c>
      <c r="B1206" s="26" t="s">
        <v>2740</v>
      </c>
      <c r="C1206" s="14" t="s">
        <v>246</v>
      </c>
      <c r="D1206" s="15" t="n">
        <v>6</v>
      </c>
      <c r="E1206" s="27" t="n">
        <f aca="false">F1206/2</f>
        <v>3012.5</v>
      </c>
      <c r="F1206" s="38" t="n">
        <v>6025</v>
      </c>
      <c r="G1206" s="15" t="s">
        <v>24</v>
      </c>
      <c r="H1206" s="17" t="s">
        <v>25</v>
      </c>
      <c r="I1206" s="18" t="s">
        <v>26</v>
      </c>
      <c r="J1206" s="15" t="n">
        <v>2000</v>
      </c>
      <c r="K1206" s="19" t="s">
        <v>27</v>
      </c>
      <c r="L1206" s="15" t="s">
        <v>28</v>
      </c>
      <c r="M1206" s="15" t="s">
        <v>33</v>
      </c>
      <c r="N1206" s="17" t="s">
        <v>167</v>
      </c>
      <c r="O1206" s="15"/>
      <c r="P1206" s="15"/>
      <c r="Q1206" s="21" t="s">
        <v>280</v>
      </c>
      <c r="R1206" s="21"/>
      <c r="S1206" s="21"/>
      <c r="T1206" s="31" t="n">
        <v>45882</v>
      </c>
      <c r="U1206" s="24" t="s">
        <v>2741</v>
      </c>
      <c r="V1206" s="25"/>
      <c r="W1206" s="25"/>
    </row>
    <row r="1207" customFormat="false" ht="41.4" hidden="false" customHeight="false" outlineLevel="0" collapsed="false">
      <c r="A1207" s="36" t="s">
        <v>2742</v>
      </c>
      <c r="B1207" s="26" t="s">
        <v>2743</v>
      </c>
      <c r="C1207" s="14" t="s">
        <v>404</v>
      </c>
      <c r="D1207" s="15" t="n">
        <v>4</v>
      </c>
      <c r="E1207" s="27" t="n">
        <f aca="false">F1207/2</f>
        <v>3600</v>
      </c>
      <c r="F1207" s="16" t="n">
        <v>7200</v>
      </c>
      <c r="G1207" s="15" t="s">
        <v>36</v>
      </c>
      <c r="H1207" s="17" t="s">
        <v>25</v>
      </c>
      <c r="I1207" s="18" t="s">
        <v>26</v>
      </c>
      <c r="J1207" s="15" t="n">
        <v>2023</v>
      </c>
      <c r="K1207" s="19" t="s">
        <v>27</v>
      </c>
      <c r="L1207" s="15" t="s">
        <v>28</v>
      </c>
      <c r="M1207" s="15" t="s">
        <v>33</v>
      </c>
      <c r="N1207" s="17" t="s">
        <v>167</v>
      </c>
      <c r="O1207" s="15"/>
      <c r="P1207" s="15"/>
      <c r="Q1207" s="21"/>
      <c r="R1207" s="21" t="s">
        <v>30</v>
      </c>
      <c r="S1207" s="21"/>
      <c r="T1207" s="31" t="n">
        <v>45848</v>
      </c>
      <c r="U1207" s="24"/>
      <c r="V1207" s="25"/>
      <c r="W1207" s="25"/>
    </row>
    <row r="1208" customFormat="false" ht="41.4" hidden="false" customHeight="false" outlineLevel="0" collapsed="false">
      <c r="A1208" s="36" t="s">
        <v>2744</v>
      </c>
      <c r="B1208" s="26" t="s">
        <v>2745</v>
      </c>
      <c r="C1208" s="14"/>
      <c r="D1208" s="15" t="n">
        <v>4</v>
      </c>
      <c r="E1208" s="27" t="n">
        <f aca="false">F1208/2</f>
        <v>50</v>
      </c>
      <c r="F1208" s="16" t="n">
        <v>100</v>
      </c>
      <c r="G1208" s="15" t="s">
        <v>354</v>
      </c>
      <c r="H1208" s="17" t="s">
        <v>25</v>
      </c>
      <c r="I1208" s="18" t="s">
        <v>26</v>
      </c>
      <c r="J1208" s="15" t="n">
        <v>2014</v>
      </c>
      <c r="K1208" s="19" t="s">
        <v>27</v>
      </c>
      <c r="L1208" s="15" t="s">
        <v>28</v>
      </c>
      <c r="M1208" s="15" t="s">
        <v>33</v>
      </c>
      <c r="N1208" s="17" t="s">
        <v>167</v>
      </c>
      <c r="O1208" s="15"/>
      <c r="P1208" s="15"/>
      <c r="Q1208" s="21" t="s">
        <v>168</v>
      </c>
      <c r="R1208" s="21"/>
      <c r="S1208" s="21"/>
      <c r="T1208" s="28"/>
      <c r="U1208" s="24"/>
      <c r="V1208" s="25"/>
      <c r="W1208" s="25"/>
    </row>
    <row r="1209" customFormat="false" ht="41.4" hidden="false" customHeight="false" outlineLevel="0" collapsed="false">
      <c r="A1209" s="36" t="s">
        <v>2746</v>
      </c>
      <c r="B1209" s="26" t="s">
        <v>2747</v>
      </c>
      <c r="C1209" s="14" t="s">
        <v>1671</v>
      </c>
      <c r="D1209" s="15" t="n">
        <v>2</v>
      </c>
      <c r="E1209" s="27" t="n">
        <f aca="false">F1209/2</f>
        <v>560</v>
      </c>
      <c r="F1209" s="16" t="n">
        <v>1120</v>
      </c>
      <c r="G1209" s="15" t="s">
        <v>36</v>
      </c>
      <c r="H1209" s="17" t="s">
        <v>25</v>
      </c>
      <c r="I1209" s="18" t="s">
        <v>26</v>
      </c>
      <c r="J1209" s="15" t="n">
        <v>2022</v>
      </c>
      <c r="K1209" s="19" t="s">
        <v>27</v>
      </c>
      <c r="L1209" s="15" t="s">
        <v>28</v>
      </c>
      <c r="M1209" s="15" t="s">
        <v>33</v>
      </c>
      <c r="N1209" s="20" t="s">
        <v>45</v>
      </c>
      <c r="O1209" s="15"/>
      <c r="P1209" s="15"/>
      <c r="Q1209" s="21"/>
      <c r="R1209" s="21"/>
      <c r="S1209" s="21"/>
      <c r="T1209" s="28"/>
      <c r="U1209" s="34"/>
      <c r="V1209" s="25"/>
      <c r="W1209" s="25"/>
    </row>
    <row r="1210" customFormat="false" ht="41.4" hidden="false" customHeight="false" outlineLevel="0" collapsed="false">
      <c r="A1210" s="36" t="s">
        <v>2748</v>
      </c>
      <c r="B1210" s="26" t="s">
        <v>2749</v>
      </c>
      <c r="C1210" s="14" t="s">
        <v>157</v>
      </c>
      <c r="D1210" s="15" t="n">
        <v>4</v>
      </c>
      <c r="E1210" s="27" t="n">
        <f aca="false">F1210/2</f>
        <v>500</v>
      </c>
      <c r="F1210" s="16" t="n">
        <v>1000</v>
      </c>
      <c r="G1210" s="15" t="s">
        <v>36</v>
      </c>
      <c r="H1210" s="17" t="s">
        <v>25</v>
      </c>
      <c r="I1210" s="18" t="s">
        <v>26</v>
      </c>
      <c r="J1210" s="15" t="n">
        <v>2017</v>
      </c>
      <c r="K1210" s="19" t="s">
        <v>27</v>
      </c>
      <c r="L1210" s="15" t="s">
        <v>28</v>
      </c>
      <c r="M1210" s="15" t="s">
        <v>33</v>
      </c>
      <c r="N1210" s="17" t="s">
        <v>167</v>
      </c>
      <c r="O1210" s="15"/>
      <c r="P1210" s="15"/>
      <c r="Q1210" s="21"/>
      <c r="R1210" s="21"/>
      <c r="S1210" s="21"/>
      <c r="T1210" s="28"/>
      <c r="U1210" s="24"/>
      <c r="V1210" s="25"/>
      <c r="W1210" s="25"/>
    </row>
    <row r="1211" customFormat="false" ht="41.4" hidden="false" customHeight="false" outlineLevel="0" collapsed="false">
      <c r="A1211" s="36" t="s">
        <v>2750</v>
      </c>
      <c r="B1211" s="26" t="s">
        <v>2751</v>
      </c>
      <c r="C1211" s="14"/>
      <c r="D1211" s="15" t="n">
        <v>12</v>
      </c>
      <c r="E1211" s="27" t="n">
        <v>13500</v>
      </c>
      <c r="F1211" s="16" t="n">
        <v>27000</v>
      </c>
      <c r="G1211" s="15" t="s">
        <v>36</v>
      </c>
      <c r="H1211" s="17" t="s">
        <v>25</v>
      </c>
      <c r="I1211" s="18" t="s">
        <v>26</v>
      </c>
      <c r="J1211" s="15" t="n">
        <v>2017</v>
      </c>
      <c r="K1211" s="19" t="s">
        <v>2047</v>
      </c>
      <c r="L1211" s="15" t="s">
        <v>28</v>
      </c>
      <c r="M1211" s="15" t="s">
        <v>33</v>
      </c>
      <c r="N1211" s="17" t="s">
        <v>167</v>
      </c>
      <c r="O1211" s="15"/>
      <c r="P1211" s="15"/>
      <c r="Q1211" s="21" t="s">
        <v>1005</v>
      </c>
      <c r="R1211" s="21"/>
      <c r="S1211" s="21"/>
      <c r="T1211" s="28"/>
      <c r="U1211" s="24"/>
      <c r="V1211" s="25"/>
      <c r="W1211" s="25"/>
    </row>
    <row r="1212" customFormat="false" ht="41.4" hidden="false" customHeight="false" outlineLevel="0" collapsed="false">
      <c r="A1212" s="36" t="s">
        <v>2752</v>
      </c>
      <c r="B1212" s="26"/>
      <c r="C1212" s="14" t="s">
        <v>293</v>
      </c>
      <c r="D1212" s="15" t="n">
        <v>4</v>
      </c>
      <c r="E1212" s="16" t="n">
        <f aca="false">F1212/2</f>
        <v>3120</v>
      </c>
      <c r="F1212" s="16" t="n">
        <f aca="false">5200*1.2</f>
        <v>6240</v>
      </c>
      <c r="G1212" s="15" t="s">
        <v>36</v>
      </c>
      <c r="H1212" s="17" t="s">
        <v>25</v>
      </c>
      <c r="I1212" s="18" t="s">
        <v>26</v>
      </c>
      <c r="J1212" s="15" t="n">
        <v>2025</v>
      </c>
      <c r="K1212" s="19" t="s">
        <v>27</v>
      </c>
      <c r="L1212" s="15" t="s">
        <v>28</v>
      </c>
      <c r="M1212" s="15" t="s">
        <v>33</v>
      </c>
      <c r="N1212" s="17"/>
      <c r="O1212" s="15"/>
      <c r="P1212" s="15"/>
      <c r="Q1212" s="21"/>
      <c r="R1212" s="21"/>
      <c r="S1212" s="21"/>
      <c r="T1212" s="31" t="n">
        <v>45909</v>
      </c>
      <c r="U1212" s="24"/>
      <c r="V1212" s="25"/>
      <c r="W1212" s="25"/>
    </row>
    <row r="1213" customFormat="false" ht="41.4" hidden="false" customHeight="false" outlineLevel="0" collapsed="false">
      <c r="A1213" s="36" t="s">
        <v>2753</v>
      </c>
      <c r="B1213" s="26"/>
      <c r="C1213" s="14" t="s">
        <v>2754</v>
      </c>
      <c r="D1213" s="15" t="n">
        <v>4</v>
      </c>
      <c r="E1213" s="27" t="n">
        <f aca="false">F1213/2</f>
        <v>75000</v>
      </c>
      <c r="F1213" s="16" t="n">
        <f aca="false">125000*1.2</f>
        <v>150000</v>
      </c>
      <c r="G1213" s="15" t="s">
        <v>36</v>
      </c>
      <c r="H1213" s="17" t="s">
        <v>25</v>
      </c>
      <c r="I1213" s="18" t="s">
        <v>26</v>
      </c>
      <c r="J1213" s="15" t="n">
        <v>2023</v>
      </c>
      <c r="K1213" s="19" t="s">
        <v>27</v>
      </c>
      <c r="L1213" s="15" t="s">
        <v>28</v>
      </c>
      <c r="M1213" s="15" t="s">
        <v>33</v>
      </c>
      <c r="N1213" s="20" t="s">
        <v>72</v>
      </c>
      <c r="O1213" s="15"/>
      <c r="P1213" s="15"/>
      <c r="Q1213" s="21"/>
      <c r="R1213" s="21"/>
      <c r="S1213" s="21"/>
      <c r="T1213" s="28"/>
      <c r="U1213" s="34"/>
      <c r="V1213" s="25"/>
      <c r="W1213" s="25"/>
    </row>
    <row r="1214" customFormat="false" ht="41.4" hidden="false" customHeight="false" outlineLevel="0" collapsed="false">
      <c r="A1214" s="36" t="s">
        <v>2755</v>
      </c>
      <c r="B1214" s="26" t="s">
        <v>2756</v>
      </c>
      <c r="C1214" s="14" t="s">
        <v>2757</v>
      </c>
      <c r="D1214" s="15" t="n">
        <v>6</v>
      </c>
      <c r="E1214" s="27" t="n">
        <f aca="false">F1214/2</f>
        <v>7920</v>
      </c>
      <c r="F1214" s="16" t="n">
        <v>15840</v>
      </c>
      <c r="G1214" s="15" t="s">
        <v>36</v>
      </c>
      <c r="H1214" s="17" t="s">
        <v>25</v>
      </c>
      <c r="I1214" s="18" t="s">
        <v>26</v>
      </c>
      <c r="J1214" s="15" t="n">
        <v>2020</v>
      </c>
      <c r="K1214" s="19" t="s">
        <v>27</v>
      </c>
      <c r="L1214" s="15" t="s">
        <v>28</v>
      </c>
      <c r="M1214" s="15" t="s">
        <v>33</v>
      </c>
      <c r="N1214" s="20" t="s">
        <v>83</v>
      </c>
      <c r="O1214" s="15"/>
      <c r="P1214" s="15"/>
      <c r="Q1214" s="21"/>
      <c r="R1214" s="21"/>
      <c r="S1214" s="21"/>
      <c r="T1214" s="28"/>
      <c r="U1214" s="34"/>
      <c r="V1214" s="25"/>
      <c r="W1214" s="25"/>
    </row>
    <row r="1215" customFormat="false" ht="41.4" hidden="false" customHeight="false" outlineLevel="0" collapsed="false">
      <c r="A1215" s="36" t="s">
        <v>2758</v>
      </c>
      <c r="B1215" s="26"/>
      <c r="C1215" s="14" t="s">
        <v>249</v>
      </c>
      <c r="D1215" s="15" t="n">
        <v>12</v>
      </c>
      <c r="E1215" s="27" t="n">
        <f aca="false">F1215/2</f>
        <v>33750</v>
      </c>
      <c r="F1215" s="16" t="n">
        <v>67500</v>
      </c>
      <c r="G1215" s="15" t="s">
        <v>36</v>
      </c>
      <c r="H1215" s="17" t="s">
        <v>25</v>
      </c>
      <c r="I1215" s="18" t="s">
        <v>26</v>
      </c>
      <c r="J1215" s="15" t="n">
        <v>2023</v>
      </c>
      <c r="K1215" s="19" t="s">
        <v>27</v>
      </c>
      <c r="L1215" s="15" t="s">
        <v>28</v>
      </c>
      <c r="M1215" s="15" t="s">
        <v>33</v>
      </c>
      <c r="N1215" s="20"/>
      <c r="O1215" s="15"/>
      <c r="P1215" s="15"/>
      <c r="Q1215" s="21"/>
      <c r="R1215" s="21"/>
      <c r="S1215" s="21"/>
      <c r="T1215" s="28"/>
      <c r="U1215" s="34"/>
      <c r="V1215" s="25"/>
      <c r="W1215" s="25"/>
    </row>
    <row r="1216" customFormat="false" ht="41.4" hidden="false" customHeight="false" outlineLevel="0" collapsed="false">
      <c r="A1216" s="36" t="s">
        <v>2759</v>
      </c>
      <c r="B1216" s="26" t="s">
        <v>2760</v>
      </c>
      <c r="C1216" s="14" t="s">
        <v>531</v>
      </c>
      <c r="D1216" s="15" t="n">
        <v>12</v>
      </c>
      <c r="E1216" s="27" t="n">
        <f aca="false">F1216/2</f>
        <v>3161</v>
      </c>
      <c r="F1216" s="16" t="n">
        <v>6322</v>
      </c>
      <c r="G1216" s="15" t="s">
        <v>36</v>
      </c>
      <c r="H1216" s="17" t="s">
        <v>25</v>
      </c>
      <c r="I1216" s="18" t="s">
        <v>26</v>
      </c>
      <c r="J1216" s="15" t="n">
        <v>2020</v>
      </c>
      <c r="K1216" s="19" t="s">
        <v>27</v>
      </c>
      <c r="L1216" s="15" t="s">
        <v>28</v>
      </c>
      <c r="M1216" s="15" t="s">
        <v>33</v>
      </c>
      <c r="N1216" s="20"/>
      <c r="O1216" s="15"/>
      <c r="P1216" s="15"/>
      <c r="Q1216" s="21"/>
      <c r="R1216" s="21"/>
      <c r="S1216" s="21"/>
      <c r="T1216" s="28"/>
      <c r="U1216" s="34"/>
      <c r="V1216" s="25"/>
      <c r="W1216" s="25"/>
    </row>
    <row r="1217" s="25" customFormat="true" ht="41.4" hidden="false" customHeight="false" outlineLevel="0" collapsed="false">
      <c r="A1217" s="36" t="s">
        <v>2761</v>
      </c>
      <c r="B1217" s="26" t="s">
        <v>2762</v>
      </c>
      <c r="C1217" s="70" t="s">
        <v>246</v>
      </c>
      <c r="D1217" s="15" t="n">
        <v>6</v>
      </c>
      <c r="E1217" s="27" t="n">
        <f aca="false">F1217/2</f>
        <v>12820</v>
      </c>
      <c r="F1217" s="38" t="n">
        <v>25640</v>
      </c>
      <c r="G1217" s="15" t="s">
        <v>36</v>
      </c>
      <c r="H1217" s="17" t="s">
        <v>25</v>
      </c>
      <c r="I1217" s="18" t="s">
        <v>26</v>
      </c>
      <c r="J1217" s="15" t="n">
        <v>2017</v>
      </c>
      <c r="K1217" s="19" t="s">
        <v>27</v>
      </c>
      <c r="L1217" s="15" t="s">
        <v>28</v>
      </c>
      <c r="M1217" s="15" t="s">
        <v>33</v>
      </c>
      <c r="N1217" s="20" t="s">
        <v>66</v>
      </c>
      <c r="O1217" s="15"/>
      <c r="P1217" s="15"/>
      <c r="Q1217" s="21" t="s">
        <v>247</v>
      </c>
      <c r="R1217" s="21"/>
      <c r="S1217" s="21"/>
      <c r="T1217" s="31" t="n">
        <v>45882</v>
      </c>
      <c r="U1217" s="24" t="s">
        <v>248</v>
      </c>
    </row>
    <row r="1218" s="25" customFormat="true" ht="41.4" hidden="false" customHeight="false" outlineLevel="0" collapsed="false">
      <c r="A1218" s="36" t="s">
        <v>2763</v>
      </c>
      <c r="B1218" s="26" t="s">
        <v>2764</v>
      </c>
      <c r="C1218" s="14" t="s">
        <v>335</v>
      </c>
      <c r="D1218" s="15" t="n">
        <v>12</v>
      </c>
      <c r="E1218" s="27" t="n">
        <f aca="false">F1218/2</f>
        <v>72000</v>
      </c>
      <c r="F1218" s="16" t="n">
        <f aca="false">12*12000</f>
        <v>144000</v>
      </c>
      <c r="G1218" s="15" t="s">
        <v>36</v>
      </c>
      <c r="H1218" s="17" t="s">
        <v>25</v>
      </c>
      <c r="I1218" s="18" t="s">
        <v>26</v>
      </c>
      <c r="J1218" s="15" t="n">
        <v>2020</v>
      </c>
      <c r="K1218" s="19" t="s">
        <v>27</v>
      </c>
      <c r="L1218" s="15" t="s">
        <v>28</v>
      </c>
      <c r="M1218" s="15" t="s">
        <v>33</v>
      </c>
      <c r="N1218" s="20"/>
      <c r="O1218" s="15" t="s">
        <v>46</v>
      </c>
      <c r="P1218" s="15"/>
      <c r="Q1218" s="21"/>
      <c r="R1218" s="21"/>
      <c r="S1218" s="21"/>
      <c r="T1218" s="28"/>
      <c r="U1218" s="34"/>
    </row>
    <row r="1219" s="25" customFormat="true" ht="41.4" hidden="false" customHeight="false" outlineLevel="0" collapsed="false">
      <c r="A1219" s="36" t="s">
        <v>2765</v>
      </c>
      <c r="B1219" s="26" t="s">
        <v>2766</v>
      </c>
      <c r="C1219" s="14" t="s">
        <v>246</v>
      </c>
      <c r="D1219" s="15" t="n">
        <v>12</v>
      </c>
      <c r="E1219" s="27" t="n">
        <f aca="false">F1219/2</f>
        <v>25640</v>
      </c>
      <c r="F1219" s="38" t="n">
        <v>51280</v>
      </c>
      <c r="G1219" s="15" t="s">
        <v>36</v>
      </c>
      <c r="H1219" s="17" t="s">
        <v>25</v>
      </c>
      <c r="I1219" s="18" t="s">
        <v>26</v>
      </c>
      <c r="J1219" s="15" t="n">
        <v>2017</v>
      </c>
      <c r="K1219" s="19" t="s">
        <v>27</v>
      </c>
      <c r="L1219" s="15" t="s">
        <v>28</v>
      </c>
      <c r="M1219" s="15" t="s">
        <v>33</v>
      </c>
      <c r="N1219" s="20"/>
      <c r="O1219" s="15"/>
      <c r="P1219" s="15"/>
      <c r="Q1219" s="21" t="s">
        <v>247</v>
      </c>
      <c r="R1219" s="21"/>
      <c r="S1219" s="21"/>
      <c r="T1219" s="31" t="n">
        <v>45882</v>
      </c>
      <c r="U1219" s="24" t="s">
        <v>248</v>
      </c>
    </row>
    <row r="1220" s="25" customFormat="true" ht="41.4" hidden="false" customHeight="false" outlineLevel="0" collapsed="false">
      <c r="A1220" s="36" t="s">
        <v>2767</v>
      </c>
      <c r="B1220" s="26" t="s">
        <v>2768</v>
      </c>
      <c r="C1220" s="14" t="s">
        <v>246</v>
      </c>
      <c r="D1220" s="15" t="n">
        <v>6</v>
      </c>
      <c r="E1220" s="27" t="n">
        <f aca="false">F1220/2</f>
        <v>12592</v>
      </c>
      <c r="F1220" s="38" t="n">
        <v>25184</v>
      </c>
      <c r="G1220" s="15" t="s">
        <v>36</v>
      </c>
      <c r="H1220" s="17" t="s">
        <v>25</v>
      </c>
      <c r="I1220" s="18" t="s">
        <v>26</v>
      </c>
      <c r="J1220" s="15" t="n">
        <v>2017</v>
      </c>
      <c r="K1220" s="19" t="s">
        <v>27</v>
      </c>
      <c r="L1220" s="15" t="s">
        <v>28</v>
      </c>
      <c r="M1220" s="15" t="s">
        <v>33</v>
      </c>
      <c r="N1220" s="20" t="s">
        <v>87</v>
      </c>
      <c r="O1220" s="15"/>
      <c r="P1220" s="15"/>
      <c r="Q1220" s="21" t="s">
        <v>247</v>
      </c>
      <c r="R1220" s="21"/>
      <c r="S1220" s="21"/>
      <c r="T1220" s="31" t="n">
        <v>45882</v>
      </c>
      <c r="U1220" s="24" t="s">
        <v>248</v>
      </c>
    </row>
    <row r="1221" s="25" customFormat="true" ht="41.4" hidden="false" customHeight="false" outlineLevel="0" collapsed="false">
      <c r="A1221" s="36" t="s">
        <v>2769</v>
      </c>
      <c r="B1221" s="26" t="s">
        <v>2770</v>
      </c>
      <c r="C1221" s="14" t="s">
        <v>246</v>
      </c>
      <c r="D1221" s="15" t="n">
        <v>6</v>
      </c>
      <c r="E1221" s="27" t="n">
        <f aca="false">F1221/2</f>
        <v>10252.5</v>
      </c>
      <c r="F1221" s="38" t="n">
        <v>20505</v>
      </c>
      <c r="G1221" s="15" t="s">
        <v>36</v>
      </c>
      <c r="H1221" s="17" t="s">
        <v>25</v>
      </c>
      <c r="I1221" s="18" t="s">
        <v>26</v>
      </c>
      <c r="J1221" s="15" t="n">
        <v>2017</v>
      </c>
      <c r="K1221" s="19" t="s">
        <v>27</v>
      </c>
      <c r="L1221" s="15" t="s">
        <v>28</v>
      </c>
      <c r="M1221" s="15" t="s">
        <v>33</v>
      </c>
      <c r="N1221" s="20" t="s">
        <v>126</v>
      </c>
      <c r="O1221" s="15"/>
      <c r="P1221" s="15"/>
      <c r="Q1221" s="21" t="s">
        <v>247</v>
      </c>
      <c r="R1221" s="21"/>
      <c r="S1221" s="21"/>
      <c r="T1221" s="31" t="n">
        <v>45882</v>
      </c>
      <c r="U1221" s="24" t="s">
        <v>248</v>
      </c>
    </row>
    <row r="1222" s="25" customFormat="true" ht="41.4" hidden="false" customHeight="false" outlineLevel="0" collapsed="false">
      <c r="A1222" s="36" t="s">
        <v>2771</v>
      </c>
      <c r="B1222" s="26"/>
      <c r="C1222" s="14" t="s">
        <v>404</v>
      </c>
      <c r="D1222" s="15" t="n">
        <v>4</v>
      </c>
      <c r="E1222" s="27" t="n">
        <f aca="false">F1222/2</f>
        <v>3600</v>
      </c>
      <c r="F1222" s="16" t="n">
        <v>7200</v>
      </c>
      <c r="G1222" s="15" t="s">
        <v>36</v>
      </c>
      <c r="H1222" s="17" t="s">
        <v>25</v>
      </c>
      <c r="I1222" s="18" t="s">
        <v>26</v>
      </c>
      <c r="J1222" s="15" t="n">
        <v>2023</v>
      </c>
      <c r="K1222" s="19" t="s">
        <v>27</v>
      </c>
      <c r="L1222" s="15" t="s">
        <v>28</v>
      </c>
      <c r="M1222" s="15" t="s">
        <v>33</v>
      </c>
      <c r="N1222" s="17" t="s">
        <v>72</v>
      </c>
      <c r="O1222" s="15"/>
      <c r="P1222" s="15"/>
      <c r="Q1222" s="21"/>
      <c r="R1222" s="21" t="s">
        <v>30</v>
      </c>
      <c r="S1222" s="21"/>
      <c r="T1222" s="31" t="n">
        <v>45848</v>
      </c>
      <c r="U1222" s="24"/>
    </row>
    <row r="1223" s="25" customFormat="true" ht="41.4" hidden="false" customHeight="false" outlineLevel="0" collapsed="false">
      <c r="A1223" s="36" t="s">
        <v>2772</v>
      </c>
      <c r="B1223" s="26" t="s">
        <v>2773</v>
      </c>
      <c r="C1223" s="14" t="s">
        <v>246</v>
      </c>
      <c r="D1223" s="15" t="n">
        <v>4</v>
      </c>
      <c r="E1223" s="27" t="n">
        <f aca="false">F1223/2</f>
        <v>8644</v>
      </c>
      <c r="F1223" s="38" t="n">
        <v>17288</v>
      </c>
      <c r="G1223" s="15" t="s">
        <v>36</v>
      </c>
      <c r="H1223" s="17" t="s">
        <v>25</v>
      </c>
      <c r="I1223" s="18" t="s">
        <v>26</v>
      </c>
      <c r="J1223" s="15" t="n">
        <v>2017</v>
      </c>
      <c r="K1223" s="19" t="s">
        <v>27</v>
      </c>
      <c r="L1223" s="15" t="s">
        <v>28</v>
      </c>
      <c r="M1223" s="15" t="s">
        <v>33</v>
      </c>
      <c r="N1223" s="20"/>
      <c r="O1223" s="15"/>
      <c r="P1223" s="15"/>
      <c r="Q1223" s="21" t="s">
        <v>247</v>
      </c>
      <c r="R1223" s="21"/>
      <c r="S1223" s="21"/>
      <c r="T1223" s="31" t="n">
        <v>45882</v>
      </c>
      <c r="U1223" s="24" t="s">
        <v>248</v>
      </c>
    </row>
    <row r="1224" s="25" customFormat="true" ht="41.4" hidden="false" customHeight="false" outlineLevel="0" collapsed="false">
      <c r="A1224" s="36" t="s">
        <v>2774</v>
      </c>
      <c r="B1224" s="26" t="s">
        <v>2775</v>
      </c>
      <c r="C1224" s="14" t="s">
        <v>86</v>
      </c>
      <c r="D1224" s="15" t="n">
        <v>4</v>
      </c>
      <c r="E1224" s="27" t="n">
        <f aca="false">F1224/2</f>
        <v>3432</v>
      </c>
      <c r="F1224" s="32" t="n">
        <v>6864</v>
      </c>
      <c r="G1224" s="15" t="s">
        <v>24</v>
      </c>
      <c r="H1224" s="17" t="s">
        <v>25</v>
      </c>
      <c r="I1224" s="18" t="s">
        <v>26</v>
      </c>
      <c r="J1224" s="15"/>
      <c r="K1224" s="19" t="s">
        <v>59</v>
      </c>
      <c r="L1224" s="15" t="s">
        <v>28</v>
      </c>
      <c r="M1224" s="15" t="s">
        <v>33</v>
      </c>
      <c r="N1224" s="17"/>
      <c r="O1224" s="15" t="s">
        <v>46</v>
      </c>
      <c r="P1224" s="15"/>
      <c r="Q1224" s="21" t="s">
        <v>78</v>
      </c>
      <c r="R1224" s="21"/>
      <c r="S1224" s="21"/>
      <c r="T1224" s="31" t="n">
        <v>45882</v>
      </c>
      <c r="U1224" s="24"/>
    </row>
    <row r="1225" s="25" customFormat="true" ht="41.4" hidden="false" customHeight="false" outlineLevel="0" collapsed="false">
      <c r="A1225" s="36" t="s">
        <v>2776</v>
      </c>
      <c r="B1225" s="26" t="s">
        <v>2777</v>
      </c>
      <c r="C1225" s="14"/>
      <c r="D1225" s="15" t="n">
        <v>12</v>
      </c>
      <c r="E1225" s="27" t="n">
        <v>2200</v>
      </c>
      <c r="F1225" s="16" t="n">
        <v>4400</v>
      </c>
      <c r="G1225" s="15" t="s">
        <v>354</v>
      </c>
      <c r="H1225" s="17" t="s">
        <v>25</v>
      </c>
      <c r="I1225" s="18" t="s">
        <v>26</v>
      </c>
      <c r="J1225" s="15" t="n">
        <v>2014</v>
      </c>
      <c r="K1225" s="19" t="s">
        <v>27</v>
      </c>
      <c r="L1225" s="15" t="s">
        <v>28</v>
      </c>
      <c r="M1225" s="15" t="s">
        <v>33</v>
      </c>
      <c r="N1225" s="17" t="s">
        <v>343</v>
      </c>
      <c r="O1225" s="15"/>
      <c r="P1225" s="15"/>
      <c r="Q1225" s="21" t="s">
        <v>47</v>
      </c>
      <c r="R1225" s="21"/>
      <c r="S1225" s="21"/>
      <c r="T1225" s="28"/>
      <c r="U1225" s="24"/>
    </row>
    <row r="1226" s="36" customFormat="true" ht="41.4" hidden="false" customHeight="false" outlineLevel="0" collapsed="false">
      <c r="A1226" s="36" t="s">
        <v>2778</v>
      </c>
      <c r="B1226" s="26" t="s">
        <v>2779</v>
      </c>
      <c r="C1226" s="14"/>
      <c r="D1226" s="15" t="n">
        <v>246</v>
      </c>
      <c r="E1226" s="27" t="n">
        <v>7100</v>
      </c>
      <c r="F1226" s="16" t="n">
        <v>14200</v>
      </c>
      <c r="G1226" s="15" t="s">
        <v>24</v>
      </c>
      <c r="H1226" s="17" t="s">
        <v>25</v>
      </c>
      <c r="I1226" s="18" t="s">
        <v>26</v>
      </c>
      <c r="J1226" s="15" t="n">
        <v>2014</v>
      </c>
      <c r="K1226" s="19" t="s">
        <v>27</v>
      </c>
      <c r="L1226" s="15" t="s">
        <v>103</v>
      </c>
      <c r="M1226" s="15" t="s">
        <v>33</v>
      </c>
      <c r="N1226" s="84" t="s">
        <v>343</v>
      </c>
      <c r="O1226" s="85"/>
      <c r="P1226" s="85"/>
      <c r="Q1226" s="22" t="s">
        <v>78</v>
      </c>
      <c r="R1226" s="22"/>
      <c r="S1226" s="22"/>
      <c r="T1226" s="23"/>
      <c r="U1226" s="86"/>
      <c r="V1226" s="87"/>
      <c r="W1226" s="87"/>
    </row>
    <row r="1227" s="25" customFormat="true" ht="41.4" hidden="false" customHeight="false" outlineLevel="0" collapsed="false">
      <c r="A1227" s="36" t="s">
        <v>2780</v>
      </c>
      <c r="B1227" s="26"/>
      <c r="C1227" s="14" t="s">
        <v>337</v>
      </c>
      <c r="D1227" s="15" t="n">
        <v>4</v>
      </c>
      <c r="E1227" s="16" t="n">
        <f aca="false">F1227/2</f>
        <v>624</v>
      </c>
      <c r="F1227" s="16" t="n">
        <f aca="false">1040*1.2</f>
        <v>1248</v>
      </c>
      <c r="G1227" s="15" t="s">
        <v>36</v>
      </c>
      <c r="H1227" s="17" t="s">
        <v>25</v>
      </c>
      <c r="I1227" s="18" t="s">
        <v>26</v>
      </c>
      <c r="J1227" s="15" t="n">
        <v>2024</v>
      </c>
      <c r="K1227" s="19" t="s">
        <v>27</v>
      </c>
      <c r="L1227" s="15" t="s">
        <v>28</v>
      </c>
      <c r="M1227" s="15" t="s">
        <v>33</v>
      </c>
      <c r="N1227" s="17" t="s">
        <v>83</v>
      </c>
      <c r="O1227" s="15"/>
      <c r="P1227" s="15"/>
      <c r="Q1227" s="21"/>
      <c r="R1227" s="21"/>
      <c r="S1227" s="21"/>
      <c r="T1227" s="28"/>
      <c r="U1227" s="34"/>
    </row>
    <row r="1228" s="25" customFormat="true" ht="41.4" hidden="false" customHeight="false" outlineLevel="0" collapsed="false">
      <c r="A1228" s="36" t="s">
        <v>2781</v>
      </c>
      <c r="B1228" s="26" t="s">
        <v>2782</v>
      </c>
      <c r="C1228" s="14" t="s">
        <v>86</v>
      </c>
      <c r="D1228" s="15" t="n">
        <v>4</v>
      </c>
      <c r="E1228" s="27" t="n">
        <f aca="false">F1228/2</f>
        <v>2496</v>
      </c>
      <c r="F1228" s="32" t="n">
        <v>4992</v>
      </c>
      <c r="G1228" s="15" t="s">
        <v>24</v>
      </c>
      <c r="H1228" s="17" t="s">
        <v>25</v>
      </c>
      <c r="I1228" s="18" t="s">
        <v>26</v>
      </c>
      <c r="J1228" s="15" t="n">
        <v>2014</v>
      </c>
      <c r="K1228" s="19" t="s">
        <v>59</v>
      </c>
      <c r="L1228" s="15" t="s">
        <v>28</v>
      </c>
      <c r="M1228" s="15" t="s">
        <v>33</v>
      </c>
      <c r="N1228" s="17" t="s">
        <v>53</v>
      </c>
      <c r="O1228" s="15" t="s">
        <v>203</v>
      </c>
      <c r="P1228" s="15"/>
      <c r="Q1228" s="21" t="s">
        <v>55</v>
      </c>
      <c r="R1228" s="21"/>
      <c r="S1228" s="21"/>
      <c r="T1228" s="31" t="n">
        <v>45882</v>
      </c>
      <c r="U1228" s="24"/>
    </row>
    <row r="1229" s="25" customFormat="true" ht="41.4" hidden="false" customHeight="false" outlineLevel="0" collapsed="false">
      <c r="A1229" s="36" t="s">
        <v>2783</v>
      </c>
      <c r="B1229" s="26" t="s">
        <v>2784</v>
      </c>
      <c r="C1229" s="14" t="s">
        <v>296</v>
      </c>
      <c r="D1229" s="15" t="n">
        <v>6</v>
      </c>
      <c r="E1229" s="27" t="n">
        <v>50</v>
      </c>
      <c r="F1229" s="16" t="n">
        <v>100</v>
      </c>
      <c r="G1229" s="15" t="s">
        <v>36</v>
      </c>
      <c r="H1229" s="17" t="s">
        <v>25</v>
      </c>
      <c r="I1229" s="18" t="s">
        <v>26</v>
      </c>
      <c r="J1229" s="15"/>
      <c r="K1229" s="19" t="s">
        <v>27</v>
      </c>
      <c r="L1229" s="15" t="s">
        <v>28</v>
      </c>
      <c r="M1229" s="15" t="s">
        <v>33</v>
      </c>
      <c r="N1229" s="17" t="s">
        <v>279</v>
      </c>
      <c r="O1229" s="15"/>
      <c r="P1229" s="15"/>
      <c r="Q1229" s="21" t="s">
        <v>78</v>
      </c>
      <c r="R1229" s="21"/>
      <c r="S1229" s="21"/>
      <c r="T1229" s="28"/>
      <c r="U1229" s="24"/>
    </row>
    <row r="1230" s="25" customFormat="true" ht="68.4" hidden="false" customHeight="false" outlineLevel="0" collapsed="false">
      <c r="A1230" s="36" t="s">
        <v>2785</v>
      </c>
      <c r="B1230" s="26" t="s">
        <v>2786</v>
      </c>
      <c r="C1230" s="14" t="s">
        <v>515</v>
      </c>
      <c r="D1230" s="15" t="n">
        <v>12</v>
      </c>
      <c r="E1230" s="27" t="n">
        <f aca="false">F1230/2</f>
        <v>56100</v>
      </c>
      <c r="F1230" s="16" t="n">
        <f aca="false">132000*0.85</f>
        <v>112200</v>
      </c>
      <c r="G1230" s="15" t="s">
        <v>24</v>
      </c>
      <c r="H1230" s="17" t="s">
        <v>25</v>
      </c>
      <c r="I1230" s="18" t="s">
        <v>26</v>
      </c>
      <c r="J1230" s="15" t="n">
        <v>2013</v>
      </c>
      <c r="K1230" s="19" t="s">
        <v>27</v>
      </c>
      <c r="L1230" s="15" t="s">
        <v>28</v>
      </c>
      <c r="M1230" s="15" t="s">
        <v>33</v>
      </c>
      <c r="N1230" s="17" t="s">
        <v>53</v>
      </c>
      <c r="O1230" s="15" t="s">
        <v>54</v>
      </c>
      <c r="P1230" s="15"/>
      <c r="Q1230" s="21" t="s">
        <v>55</v>
      </c>
      <c r="R1230" s="21"/>
      <c r="S1230" s="21"/>
      <c r="T1230" s="31" t="n">
        <v>45846</v>
      </c>
      <c r="U1230" s="24" t="s">
        <v>2787</v>
      </c>
    </row>
    <row r="1231" s="25" customFormat="true" ht="41.4" hidden="false" customHeight="false" outlineLevel="0" collapsed="false">
      <c r="A1231" s="36" t="s">
        <v>2788</v>
      </c>
      <c r="B1231" s="26"/>
      <c r="C1231" s="14" t="s">
        <v>144</v>
      </c>
      <c r="D1231" s="15" t="n">
        <v>4</v>
      </c>
      <c r="E1231" s="16" t="n">
        <f aca="false">F1231/2</f>
        <v>50</v>
      </c>
      <c r="F1231" s="16" t="n">
        <v>100</v>
      </c>
      <c r="G1231" s="15" t="s">
        <v>36</v>
      </c>
      <c r="H1231" s="17" t="s">
        <v>25</v>
      </c>
      <c r="I1231" s="18" t="s">
        <v>26</v>
      </c>
      <c r="J1231" s="15" t="n">
        <v>2025</v>
      </c>
      <c r="K1231" s="19" t="s">
        <v>145</v>
      </c>
      <c r="L1231" s="15" t="s">
        <v>28</v>
      </c>
      <c r="M1231" s="15" t="s">
        <v>33</v>
      </c>
      <c r="N1231" s="17"/>
      <c r="O1231" s="15"/>
      <c r="P1231" s="15"/>
      <c r="Q1231" s="21"/>
      <c r="R1231" s="21"/>
      <c r="S1231" s="21" t="s">
        <v>113</v>
      </c>
      <c r="T1231" s="31" t="n">
        <v>45880</v>
      </c>
      <c r="U1231" s="24"/>
    </row>
    <row r="1232" s="25" customFormat="true" ht="41.4" hidden="false" customHeight="false" outlineLevel="0" collapsed="false">
      <c r="A1232" s="36" t="s">
        <v>2789</v>
      </c>
      <c r="B1232" s="26" t="s">
        <v>2790</v>
      </c>
      <c r="C1232" s="14" t="s">
        <v>122</v>
      </c>
      <c r="D1232" s="15" t="n">
        <v>12</v>
      </c>
      <c r="E1232" s="27" t="n">
        <v>23628</v>
      </c>
      <c r="F1232" s="16" t="n">
        <v>39204</v>
      </c>
      <c r="G1232" s="15" t="s">
        <v>36</v>
      </c>
      <c r="H1232" s="17" t="s">
        <v>25</v>
      </c>
      <c r="I1232" s="18" t="s">
        <v>26</v>
      </c>
      <c r="J1232" s="15" t="n">
        <v>2017</v>
      </c>
      <c r="K1232" s="19" t="s">
        <v>27</v>
      </c>
      <c r="L1232" s="15" t="s">
        <v>28</v>
      </c>
      <c r="M1232" s="15" t="s">
        <v>33</v>
      </c>
      <c r="N1232" s="17" t="s">
        <v>279</v>
      </c>
      <c r="O1232" s="15"/>
      <c r="P1232" s="15"/>
      <c r="Q1232" s="21"/>
      <c r="R1232" s="21"/>
      <c r="S1232" s="21"/>
      <c r="T1232" s="28"/>
      <c r="U1232" s="24"/>
    </row>
    <row r="1233" s="25" customFormat="true" ht="41.4" hidden="false" customHeight="false" outlineLevel="0" collapsed="false">
      <c r="A1233" s="36" t="s">
        <v>2791</v>
      </c>
      <c r="B1233" s="26"/>
      <c r="C1233" s="14" t="s">
        <v>426</v>
      </c>
      <c r="D1233" s="15" t="n">
        <v>4</v>
      </c>
      <c r="E1233" s="27" t="n">
        <f aca="false">F1233/2</f>
        <v>50</v>
      </c>
      <c r="F1233" s="16" t="n">
        <v>100</v>
      </c>
      <c r="G1233" s="15" t="s">
        <v>36</v>
      </c>
      <c r="H1233" s="17" t="s">
        <v>25</v>
      </c>
      <c r="I1233" s="18" t="s">
        <v>26</v>
      </c>
      <c r="J1233" s="15" t="n">
        <v>2025</v>
      </c>
      <c r="K1233" s="19" t="s">
        <v>427</v>
      </c>
      <c r="L1233" s="15" t="s">
        <v>28</v>
      </c>
      <c r="M1233" s="15" t="s">
        <v>33</v>
      </c>
      <c r="N1233" s="17"/>
      <c r="O1233" s="15"/>
      <c r="P1233" s="15"/>
      <c r="Q1233" s="21" t="s">
        <v>78</v>
      </c>
      <c r="R1233" s="21"/>
      <c r="S1233" s="21"/>
      <c r="T1233" s="28"/>
      <c r="U1233" s="24"/>
    </row>
    <row r="1234" s="25" customFormat="true" ht="41.4" hidden="false" customHeight="false" outlineLevel="0" collapsed="false">
      <c r="A1234" s="64" t="s">
        <v>2792</v>
      </c>
      <c r="B1234" s="26" t="s">
        <v>2793</v>
      </c>
      <c r="C1234" s="14" t="s">
        <v>264</v>
      </c>
      <c r="D1234" s="30" t="n">
        <v>12</v>
      </c>
      <c r="E1234" s="16" t="n">
        <f aca="false">F1234/2</f>
        <v>77606.64</v>
      </c>
      <c r="F1234" s="16" t="n">
        <f aca="false">166896*0.93</f>
        <v>155213.28</v>
      </c>
      <c r="G1234" s="15" t="s">
        <v>36</v>
      </c>
      <c r="H1234" s="17" t="s">
        <v>25</v>
      </c>
      <c r="I1234" s="18" t="s">
        <v>26</v>
      </c>
      <c r="J1234" s="15" t="n">
        <v>2024</v>
      </c>
      <c r="K1234" s="19" t="s">
        <v>27</v>
      </c>
      <c r="L1234" s="15" t="s">
        <v>28</v>
      </c>
      <c r="M1234" s="15" t="s">
        <v>33</v>
      </c>
      <c r="N1234" s="30"/>
      <c r="O1234" s="60"/>
      <c r="P1234" s="60"/>
      <c r="Q1234" s="21"/>
      <c r="R1234" s="21"/>
      <c r="S1234" s="40"/>
      <c r="T1234" s="31" t="n">
        <v>45880</v>
      </c>
      <c r="U1234" s="41"/>
      <c r="V1234" s="37"/>
      <c r="W1234" s="37"/>
    </row>
    <row r="1235" s="25" customFormat="true" ht="55.2" hidden="false" customHeight="false" outlineLevel="0" collapsed="false">
      <c r="A1235" s="36" t="s">
        <v>2794</v>
      </c>
      <c r="B1235" s="26"/>
      <c r="C1235" s="14" t="s">
        <v>2795</v>
      </c>
      <c r="D1235" s="15" t="n">
        <v>4</v>
      </c>
      <c r="E1235" s="16" t="n">
        <f aca="false">F1235/2</f>
        <v>1820</v>
      </c>
      <c r="F1235" s="16" t="n">
        <v>3640</v>
      </c>
      <c r="G1235" s="15" t="s">
        <v>36</v>
      </c>
      <c r="H1235" s="17" t="s">
        <v>25</v>
      </c>
      <c r="I1235" s="18" t="s">
        <v>26</v>
      </c>
      <c r="J1235" s="15" t="n">
        <v>2025</v>
      </c>
      <c r="K1235" s="19" t="s">
        <v>27</v>
      </c>
      <c r="L1235" s="15" t="s">
        <v>28</v>
      </c>
      <c r="M1235" s="15" t="s">
        <v>33</v>
      </c>
      <c r="N1235" s="17" t="s">
        <v>240</v>
      </c>
      <c r="O1235" s="15"/>
      <c r="P1235" s="15"/>
      <c r="Q1235" s="21"/>
      <c r="R1235" s="21"/>
      <c r="S1235" s="21"/>
      <c r="T1235" s="28"/>
      <c r="U1235" s="24"/>
    </row>
    <row r="1236" s="25" customFormat="true" ht="41.4" hidden="false" customHeight="false" outlineLevel="0" collapsed="false">
      <c r="A1236" s="36" t="s">
        <v>2796</v>
      </c>
      <c r="B1236" s="26" t="s">
        <v>2797</v>
      </c>
      <c r="C1236" s="14" t="s">
        <v>197</v>
      </c>
      <c r="D1236" s="15" t="n">
        <v>4</v>
      </c>
      <c r="E1236" s="27" t="n">
        <f aca="false">F1236/2</f>
        <v>1375</v>
      </c>
      <c r="F1236" s="16" t="n">
        <v>2750</v>
      </c>
      <c r="G1236" s="15" t="s">
        <v>36</v>
      </c>
      <c r="H1236" s="17" t="s">
        <v>25</v>
      </c>
      <c r="I1236" s="18" t="s">
        <v>26</v>
      </c>
      <c r="J1236" s="15" t="n">
        <v>2020</v>
      </c>
      <c r="K1236" s="19" t="s">
        <v>27</v>
      </c>
      <c r="L1236" s="15" t="s">
        <v>28</v>
      </c>
      <c r="M1236" s="15" t="s">
        <v>33</v>
      </c>
      <c r="N1236" s="20"/>
      <c r="O1236" s="15"/>
      <c r="P1236" s="15"/>
      <c r="Q1236" s="21"/>
      <c r="R1236" s="21"/>
      <c r="S1236" s="21"/>
      <c r="T1236" s="28"/>
      <c r="U1236" s="34"/>
    </row>
    <row r="1237" s="25" customFormat="true" ht="45.6" hidden="false" customHeight="false" outlineLevel="0" collapsed="false">
      <c r="A1237" s="36" t="s">
        <v>2798</v>
      </c>
      <c r="B1237" s="26" t="s">
        <v>2799</v>
      </c>
      <c r="C1237" s="14" t="s">
        <v>547</v>
      </c>
      <c r="D1237" s="15" t="n">
        <v>4</v>
      </c>
      <c r="E1237" s="27" t="n">
        <f aca="false">F1237/2</f>
        <v>2280</v>
      </c>
      <c r="F1237" s="16" t="n">
        <v>4560</v>
      </c>
      <c r="G1237" s="15" t="s">
        <v>24</v>
      </c>
      <c r="H1237" s="17" t="s">
        <v>25</v>
      </c>
      <c r="I1237" s="18" t="s">
        <v>26</v>
      </c>
      <c r="J1237" s="15" t="n">
        <v>2008</v>
      </c>
      <c r="K1237" s="19" t="s">
        <v>27</v>
      </c>
      <c r="L1237" s="15" t="s">
        <v>28</v>
      </c>
      <c r="M1237" s="15" t="s">
        <v>33</v>
      </c>
      <c r="N1237" s="17" t="s">
        <v>83</v>
      </c>
      <c r="O1237" s="15" t="s">
        <v>54</v>
      </c>
      <c r="P1237" s="15"/>
      <c r="Q1237" s="21" t="s">
        <v>939</v>
      </c>
      <c r="R1237" s="21"/>
      <c r="S1237" s="21"/>
      <c r="T1237" s="28"/>
      <c r="U1237" s="24" t="s">
        <v>548</v>
      </c>
    </row>
    <row r="1238" s="25" customFormat="true" ht="41.4" hidden="false" customHeight="false" outlineLevel="0" collapsed="false">
      <c r="A1238" s="36" t="s">
        <v>2800</v>
      </c>
      <c r="B1238" s="26" t="s">
        <v>2801</v>
      </c>
      <c r="C1238" s="14" t="s">
        <v>1065</v>
      </c>
      <c r="D1238" s="15" t="n">
        <v>12</v>
      </c>
      <c r="E1238" s="27" t="n">
        <f aca="false">F1238/2</f>
        <v>58275</v>
      </c>
      <c r="F1238" s="16" t="n">
        <f aca="false">111000*1.05</f>
        <v>116550</v>
      </c>
      <c r="G1238" s="15" t="s">
        <v>36</v>
      </c>
      <c r="H1238" s="17" t="s">
        <v>25</v>
      </c>
      <c r="I1238" s="18" t="s">
        <v>26</v>
      </c>
      <c r="J1238" s="15" t="n">
        <v>2017</v>
      </c>
      <c r="K1238" s="19" t="s">
        <v>27</v>
      </c>
      <c r="L1238" s="15" t="s">
        <v>28</v>
      </c>
      <c r="M1238" s="15" t="s">
        <v>33</v>
      </c>
      <c r="N1238" s="17"/>
      <c r="O1238" s="15"/>
      <c r="P1238" s="15"/>
      <c r="Q1238" s="21" t="s">
        <v>78</v>
      </c>
      <c r="R1238" s="21"/>
      <c r="S1238" s="21"/>
      <c r="T1238" s="31" t="n">
        <v>45856</v>
      </c>
      <c r="U1238" s="24"/>
    </row>
    <row r="1239" s="25" customFormat="true" ht="41.4" hidden="false" customHeight="false" outlineLevel="0" collapsed="false">
      <c r="A1239" s="36" t="s">
        <v>2802</v>
      </c>
      <c r="B1239" s="26" t="s">
        <v>2803</v>
      </c>
      <c r="C1239" s="14" t="s">
        <v>1324</v>
      </c>
      <c r="D1239" s="15" t="n">
        <v>6</v>
      </c>
      <c r="E1239" s="27" t="n">
        <f aca="false">F1239/2</f>
        <v>540</v>
      </c>
      <c r="F1239" s="16" t="n">
        <v>1080</v>
      </c>
      <c r="G1239" s="15" t="s">
        <v>36</v>
      </c>
      <c r="H1239" s="17" t="s">
        <v>25</v>
      </c>
      <c r="I1239" s="18" t="s">
        <v>26</v>
      </c>
      <c r="J1239" s="15" t="n">
        <v>2014</v>
      </c>
      <c r="K1239" s="19" t="s">
        <v>1325</v>
      </c>
      <c r="L1239" s="15" t="s">
        <v>28</v>
      </c>
      <c r="M1239" s="15" t="s">
        <v>33</v>
      </c>
      <c r="N1239" s="17" t="s">
        <v>83</v>
      </c>
      <c r="O1239" s="15"/>
      <c r="P1239" s="15"/>
      <c r="Q1239" s="21" t="s">
        <v>302</v>
      </c>
      <c r="R1239" s="21"/>
      <c r="S1239" s="21"/>
      <c r="T1239" s="28"/>
      <c r="U1239" s="24"/>
      <c r="V1239" s="37"/>
      <c r="W1239" s="37"/>
    </row>
    <row r="1240" s="25" customFormat="true" ht="41.4" hidden="false" customHeight="false" outlineLevel="0" collapsed="false">
      <c r="A1240" s="36" t="s">
        <v>2804</v>
      </c>
      <c r="B1240" s="26" t="s">
        <v>2805</v>
      </c>
      <c r="C1240" s="14" t="s">
        <v>307</v>
      </c>
      <c r="D1240" s="15" t="n">
        <v>4</v>
      </c>
      <c r="E1240" s="27" t="n">
        <f aca="false">F1240/2</f>
        <v>50</v>
      </c>
      <c r="F1240" s="16" t="n">
        <v>100</v>
      </c>
      <c r="G1240" s="15" t="s">
        <v>36</v>
      </c>
      <c r="H1240" s="17" t="s">
        <v>25</v>
      </c>
      <c r="I1240" s="18" t="s">
        <v>26</v>
      </c>
      <c r="J1240" s="15" t="n">
        <v>2019</v>
      </c>
      <c r="K1240" s="19" t="s">
        <v>27</v>
      </c>
      <c r="L1240" s="15" t="s">
        <v>28</v>
      </c>
      <c r="M1240" s="15" t="s">
        <v>33</v>
      </c>
      <c r="N1240" s="17" t="s">
        <v>83</v>
      </c>
      <c r="O1240" s="15"/>
      <c r="P1240" s="15"/>
      <c r="Q1240" s="21"/>
      <c r="R1240" s="21"/>
      <c r="S1240" s="21"/>
      <c r="T1240" s="28"/>
      <c r="U1240" s="34"/>
    </row>
    <row r="1241" s="25" customFormat="true" ht="41.4" hidden="false" customHeight="false" outlineLevel="0" collapsed="false">
      <c r="A1241" s="36" t="s">
        <v>2806</v>
      </c>
      <c r="B1241" s="26" t="s">
        <v>2807</v>
      </c>
      <c r="C1241" s="14"/>
      <c r="D1241" s="15" t="n">
        <v>6</v>
      </c>
      <c r="E1241" s="27" t="n">
        <f aca="false">F1241/2</f>
        <v>540</v>
      </c>
      <c r="F1241" s="16" t="n">
        <v>1080</v>
      </c>
      <c r="G1241" s="15" t="s">
        <v>354</v>
      </c>
      <c r="H1241" s="17" t="s">
        <v>25</v>
      </c>
      <c r="I1241" s="18" t="s">
        <v>26</v>
      </c>
      <c r="J1241" s="15" t="n">
        <v>2014</v>
      </c>
      <c r="K1241" s="19" t="s">
        <v>1325</v>
      </c>
      <c r="L1241" s="15" t="s">
        <v>28</v>
      </c>
      <c r="M1241" s="15" t="s">
        <v>33</v>
      </c>
      <c r="N1241" s="17" t="s">
        <v>83</v>
      </c>
      <c r="O1241" s="15"/>
      <c r="P1241" s="15"/>
      <c r="Q1241" s="21" t="s">
        <v>302</v>
      </c>
      <c r="R1241" s="21"/>
      <c r="S1241" s="21"/>
      <c r="T1241" s="28"/>
      <c r="U1241" s="24"/>
    </row>
    <row r="1242" s="25" customFormat="true" ht="41.4" hidden="false" customHeight="false" outlineLevel="0" collapsed="false">
      <c r="A1242" s="36" t="s">
        <v>2808</v>
      </c>
      <c r="B1242" s="26"/>
      <c r="C1242" s="14"/>
      <c r="D1242" s="15" t="n">
        <v>4</v>
      </c>
      <c r="E1242" s="27" t="n">
        <f aca="false">F1242/2</f>
        <v>750</v>
      </c>
      <c r="F1242" s="16" t="n">
        <v>1500</v>
      </c>
      <c r="G1242" s="15" t="s">
        <v>36</v>
      </c>
      <c r="H1242" s="17" t="s">
        <v>25</v>
      </c>
      <c r="I1242" s="18" t="s">
        <v>26</v>
      </c>
      <c r="J1242" s="15"/>
      <c r="K1242" s="19" t="s">
        <v>27</v>
      </c>
      <c r="L1242" s="15" t="s">
        <v>28</v>
      </c>
      <c r="M1242" s="15" t="s">
        <v>33</v>
      </c>
      <c r="N1242" s="17"/>
      <c r="O1242" s="15"/>
      <c r="P1242" s="15"/>
      <c r="Q1242" s="21"/>
      <c r="R1242" s="21"/>
      <c r="S1242" s="21"/>
      <c r="T1242" s="28"/>
      <c r="U1242" s="24"/>
    </row>
    <row r="1243" s="25" customFormat="true" ht="41.4" hidden="false" customHeight="false" outlineLevel="0" collapsed="false">
      <c r="A1243" s="36" t="s">
        <v>2809</v>
      </c>
      <c r="B1243" s="26" t="s">
        <v>2810</v>
      </c>
      <c r="C1243" s="14" t="s">
        <v>2811</v>
      </c>
      <c r="D1243" s="15" t="n">
        <v>12</v>
      </c>
      <c r="E1243" s="27" t="n">
        <f aca="false">F1243/2</f>
        <v>1786</v>
      </c>
      <c r="F1243" s="16" t="n">
        <v>3572</v>
      </c>
      <c r="G1243" s="15" t="s">
        <v>36</v>
      </c>
      <c r="H1243" s="17" t="s">
        <v>25</v>
      </c>
      <c r="I1243" s="18" t="s">
        <v>26</v>
      </c>
      <c r="J1243" s="15" t="n">
        <v>2017</v>
      </c>
      <c r="K1243" s="19" t="s">
        <v>27</v>
      </c>
      <c r="L1243" s="15" t="s">
        <v>28</v>
      </c>
      <c r="M1243" s="15" t="s">
        <v>33</v>
      </c>
      <c r="N1243" s="17" t="s">
        <v>175</v>
      </c>
      <c r="O1243" s="15"/>
      <c r="P1243" s="15"/>
      <c r="Q1243" s="21" t="s">
        <v>78</v>
      </c>
      <c r="R1243" s="21"/>
      <c r="S1243" s="21"/>
      <c r="T1243" s="31" t="n">
        <v>45925</v>
      </c>
      <c r="U1243" s="24"/>
    </row>
    <row r="1244" s="25" customFormat="true" ht="41.4" hidden="false" customHeight="false" outlineLevel="0" collapsed="false">
      <c r="A1244" s="36" t="s">
        <v>2812</v>
      </c>
      <c r="B1244" s="26" t="s">
        <v>2813</v>
      </c>
      <c r="C1244" s="14" t="s">
        <v>1244</v>
      </c>
      <c r="D1244" s="15" t="n">
        <v>24</v>
      </c>
      <c r="E1244" s="27" t="n">
        <f aca="false">F1244/2</f>
        <v>1800</v>
      </c>
      <c r="F1244" s="16" t="n">
        <v>3600</v>
      </c>
      <c r="G1244" s="15" t="s">
        <v>36</v>
      </c>
      <c r="H1244" s="17" t="s">
        <v>25</v>
      </c>
      <c r="I1244" s="18" t="s">
        <v>26</v>
      </c>
      <c r="J1244" s="15" t="n">
        <v>2019</v>
      </c>
      <c r="K1244" s="19" t="s">
        <v>27</v>
      </c>
      <c r="L1244" s="15" t="s">
        <v>103</v>
      </c>
      <c r="M1244" s="15" t="s">
        <v>33</v>
      </c>
      <c r="N1244" s="20" t="s">
        <v>1227</v>
      </c>
      <c r="O1244" s="15"/>
      <c r="P1244" s="15"/>
      <c r="Q1244" s="21"/>
      <c r="R1244" s="21"/>
      <c r="S1244" s="21"/>
      <c r="T1244" s="28"/>
      <c r="U1244" s="34"/>
    </row>
    <row r="1245" s="25" customFormat="true" ht="45.6" hidden="false" customHeight="false" outlineLevel="0" collapsed="false">
      <c r="A1245" s="36" t="s">
        <v>2814</v>
      </c>
      <c r="B1245" s="26" t="s">
        <v>2815</v>
      </c>
      <c r="C1245" s="14" t="s">
        <v>246</v>
      </c>
      <c r="D1245" s="15" t="n">
        <v>4</v>
      </c>
      <c r="E1245" s="27" t="n">
        <f aca="false">F1245/2</f>
        <v>3146</v>
      </c>
      <c r="F1245" s="38" t="n">
        <v>6292</v>
      </c>
      <c r="G1245" s="15" t="s">
        <v>24</v>
      </c>
      <c r="H1245" s="17" t="s">
        <v>25</v>
      </c>
      <c r="I1245" s="18" t="s">
        <v>26</v>
      </c>
      <c r="J1245" s="15" t="n">
        <v>2000</v>
      </c>
      <c r="K1245" s="19" t="s">
        <v>27</v>
      </c>
      <c r="L1245" s="15" t="s">
        <v>28</v>
      </c>
      <c r="M1245" s="15" t="s">
        <v>33</v>
      </c>
      <c r="N1245" s="17" t="s">
        <v>175</v>
      </c>
      <c r="O1245" s="15"/>
      <c r="P1245" s="15"/>
      <c r="Q1245" s="21" t="s">
        <v>280</v>
      </c>
      <c r="R1245" s="21"/>
      <c r="S1245" s="21"/>
      <c r="T1245" s="31" t="n">
        <v>45882</v>
      </c>
      <c r="U1245" s="24" t="s">
        <v>2816</v>
      </c>
    </row>
    <row r="1246" s="25" customFormat="true" ht="45.6" hidden="false" customHeight="false" outlineLevel="0" collapsed="false">
      <c r="A1246" s="36" t="s">
        <v>2817</v>
      </c>
      <c r="B1246" s="26" t="s">
        <v>2818</v>
      </c>
      <c r="C1246" s="14" t="s">
        <v>2819</v>
      </c>
      <c r="D1246" s="15" t="n">
        <v>300</v>
      </c>
      <c r="E1246" s="27" t="n">
        <f aca="false">F1246/2</f>
        <v>3250</v>
      </c>
      <c r="F1246" s="16" t="n">
        <v>6500</v>
      </c>
      <c r="G1246" s="15" t="s">
        <v>24</v>
      </c>
      <c r="H1246" s="17" t="s">
        <v>25</v>
      </c>
      <c r="I1246" s="18" t="s">
        <v>26</v>
      </c>
      <c r="J1246" s="15" t="n">
        <v>1997</v>
      </c>
      <c r="K1246" s="19" t="s">
        <v>27</v>
      </c>
      <c r="L1246" s="15" t="s">
        <v>103</v>
      </c>
      <c r="M1246" s="15" t="s">
        <v>33</v>
      </c>
      <c r="N1246" s="17" t="s">
        <v>343</v>
      </c>
      <c r="O1246" s="15"/>
      <c r="P1246" s="15"/>
      <c r="Q1246" s="21" t="s">
        <v>344</v>
      </c>
      <c r="R1246" s="21"/>
      <c r="S1246" s="21"/>
      <c r="T1246" s="28"/>
      <c r="U1246" s="24" t="s">
        <v>2820</v>
      </c>
    </row>
    <row r="1247" s="25" customFormat="true" ht="41.4" hidden="false" customHeight="false" outlineLevel="0" collapsed="false">
      <c r="A1247" s="36" t="s">
        <v>2821</v>
      </c>
      <c r="B1247" s="26" t="s">
        <v>2822</v>
      </c>
      <c r="C1247" s="14" t="s">
        <v>246</v>
      </c>
      <c r="D1247" s="15" t="n">
        <v>6</v>
      </c>
      <c r="E1247" s="27" t="n">
        <f aca="false">F1247/2</f>
        <v>4672</v>
      </c>
      <c r="F1247" s="38" t="n">
        <v>9344</v>
      </c>
      <c r="G1247" s="15" t="s">
        <v>24</v>
      </c>
      <c r="H1247" s="17" t="s">
        <v>25</v>
      </c>
      <c r="I1247" s="18" t="s">
        <v>26</v>
      </c>
      <c r="J1247" s="15" t="n">
        <v>2000</v>
      </c>
      <c r="K1247" s="19" t="s">
        <v>27</v>
      </c>
      <c r="L1247" s="15" t="s">
        <v>28</v>
      </c>
      <c r="M1247" s="15" t="s">
        <v>33</v>
      </c>
      <c r="N1247" s="17" t="s">
        <v>175</v>
      </c>
      <c r="O1247" s="15"/>
      <c r="P1247" s="15"/>
      <c r="Q1247" s="21" t="s">
        <v>280</v>
      </c>
      <c r="R1247" s="21"/>
      <c r="S1247" s="21"/>
      <c r="T1247" s="31" t="n">
        <v>45882</v>
      </c>
      <c r="U1247" s="24" t="s">
        <v>2823</v>
      </c>
    </row>
    <row r="1248" s="25" customFormat="true" ht="41.4" hidden="false" customHeight="false" outlineLevel="0" collapsed="false">
      <c r="A1248" s="36" t="s">
        <v>2824</v>
      </c>
      <c r="B1248" s="26" t="s">
        <v>2825</v>
      </c>
      <c r="C1248" s="14" t="s">
        <v>148</v>
      </c>
      <c r="D1248" s="15" t="n">
        <v>4</v>
      </c>
      <c r="E1248" s="27" t="n">
        <f aca="false">F1248/2</f>
        <v>1716</v>
      </c>
      <c r="F1248" s="35" t="n">
        <f aca="false">FLOOR(2860*1.2,1)</f>
        <v>3432</v>
      </c>
      <c r="G1248" s="15" t="s">
        <v>36</v>
      </c>
      <c r="H1248" s="17" t="s">
        <v>25</v>
      </c>
      <c r="I1248" s="18" t="s">
        <v>26</v>
      </c>
      <c r="J1248" s="15" t="n">
        <v>2020</v>
      </c>
      <c r="K1248" s="19" t="s">
        <v>27</v>
      </c>
      <c r="L1248" s="15" t="s">
        <v>28</v>
      </c>
      <c r="M1248" s="15" t="s">
        <v>33</v>
      </c>
      <c r="N1248" s="17" t="s">
        <v>83</v>
      </c>
      <c r="O1248" s="15"/>
      <c r="P1248" s="15"/>
      <c r="Q1248" s="21"/>
      <c r="R1248" s="21"/>
      <c r="S1248" s="21"/>
      <c r="T1248" s="31" t="n">
        <v>45882</v>
      </c>
      <c r="U1248" s="34"/>
    </row>
    <row r="1249" s="25" customFormat="true" ht="41.4" hidden="false" customHeight="false" outlineLevel="0" collapsed="false">
      <c r="A1249" s="36" t="s">
        <v>2826</v>
      </c>
      <c r="B1249" s="26" t="s">
        <v>2827</v>
      </c>
      <c r="C1249" s="14" t="s">
        <v>246</v>
      </c>
      <c r="D1249" s="15" t="n">
        <v>6</v>
      </c>
      <c r="E1249" s="27" t="n">
        <f aca="false">F1249/2</f>
        <v>11667</v>
      </c>
      <c r="F1249" s="35" t="n">
        <v>23334</v>
      </c>
      <c r="G1249" s="15" t="s">
        <v>36</v>
      </c>
      <c r="H1249" s="17" t="s">
        <v>25</v>
      </c>
      <c r="I1249" s="18" t="s">
        <v>26</v>
      </c>
      <c r="J1249" s="15" t="n">
        <v>2019</v>
      </c>
      <c r="K1249" s="19" t="s">
        <v>65</v>
      </c>
      <c r="L1249" s="15" t="s">
        <v>28</v>
      </c>
      <c r="M1249" s="15" t="s">
        <v>33</v>
      </c>
      <c r="N1249" s="17" t="s">
        <v>270</v>
      </c>
      <c r="O1249" s="15"/>
      <c r="P1249" s="15"/>
      <c r="Q1249" s="21"/>
      <c r="R1249" s="21"/>
      <c r="S1249" s="21"/>
      <c r="T1249" s="31" t="n">
        <v>45882</v>
      </c>
      <c r="U1249" s="34"/>
    </row>
    <row r="1250" s="25" customFormat="true" ht="41.4" hidden="false" customHeight="false" outlineLevel="0" collapsed="false">
      <c r="A1250" s="36" t="s">
        <v>2828</v>
      </c>
      <c r="B1250" s="26" t="s">
        <v>2829</v>
      </c>
      <c r="C1250" s="14" t="s">
        <v>148</v>
      </c>
      <c r="D1250" s="15" t="n">
        <v>4</v>
      </c>
      <c r="E1250" s="27" t="n">
        <f aca="false">F1250/2</f>
        <v>1785</v>
      </c>
      <c r="F1250" s="35" t="n">
        <f aca="false">FLOOR(2975*1.2,1)</f>
        <v>3570</v>
      </c>
      <c r="G1250" s="15" t="s">
        <v>36</v>
      </c>
      <c r="H1250" s="17" t="s">
        <v>25</v>
      </c>
      <c r="I1250" s="18" t="s">
        <v>26</v>
      </c>
      <c r="J1250" s="15" t="n">
        <v>2020</v>
      </c>
      <c r="K1250" s="19" t="s">
        <v>27</v>
      </c>
      <c r="L1250" s="15" t="s">
        <v>28</v>
      </c>
      <c r="M1250" s="15" t="s">
        <v>33</v>
      </c>
      <c r="N1250" s="17" t="s">
        <v>83</v>
      </c>
      <c r="O1250" s="15"/>
      <c r="P1250" s="15"/>
      <c r="Q1250" s="21"/>
      <c r="R1250" s="21"/>
      <c r="S1250" s="21"/>
      <c r="T1250" s="31" t="n">
        <v>45882</v>
      </c>
      <c r="U1250" s="34"/>
    </row>
    <row r="1251" s="25" customFormat="true" ht="41.4" hidden="false" customHeight="false" outlineLevel="0" collapsed="false">
      <c r="A1251" s="36" t="s">
        <v>2830</v>
      </c>
      <c r="B1251" s="26" t="s">
        <v>2831</v>
      </c>
      <c r="C1251" s="14"/>
      <c r="D1251" s="15" t="n">
        <v>12</v>
      </c>
      <c r="E1251" s="27" t="n">
        <v>900</v>
      </c>
      <c r="F1251" s="16" t="n">
        <v>1800</v>
      </c>
      <c r="G1251" s="15" t="s">
        <v>354</v>
      </c>
      <c r="H1251" s="17" t="s">
        <v>25</v>
      </c>
      <c r="I1251" s="18" t="s">
        <v>26</v>
      </c>
      <c r="J1251" s="15" t="n">
        <v>2009</v>
      </c>
      <c r="K1251" s="19" t="s">
        <v>27</v>
      </c>
      <c r="L1251" s="15" t="s">
        <v>28</v>
      </c>
      <c r="M1251" s="15" t="s">
        <v>33</v>
      </c>
      <c r="N1251" s="17"/>
      <c r="O1251" s="15"/>
      <c r="P1251" s="15"/>
      <c r="Q1251" s="21" t="s">
        <v>534</v>
      </c>
      <c r="R1251" s="21"/>
      <c r="S1251" s="21"/>
      <c r="T1251" s="28"/>
      <c r="U1251" s="24" t="s">
        <v>2832</v>
      </c>
    </row>
    <row r="1252" s="25" customFormat="true" ht="41.4" hidden="false" customHeight="false" outlineLevel="0" collapsed="false">
      <c r="A1252" s="36" t="s">
        <v>2833</v>
      </c>
      <c r="B1252" s="26" t="s">
        <v>2834</v>
      </c>
      <c r="C1252" s="14" t="s">
        <v>157</v>
      </c>
      <c r="D1252" s="15" t="n">
        <v>12</v>
      </c>
      <c r="E1252" s="27" t="n">
        <f aca="false">F1252/2</f>
        <v>3750</v>
      </c>
      <c r="F1252" s="16" t="n">
        <v>7500</v>
      </c>
      <c r="G1252" s="15" t="s">
        <v>36</v>
      </c>
      <c r="H1252" s="17" t="s">
        <v>25</v>
      </c>
      <c r="I1252" s="18" t="s">
        <v>26</v>
      </c>
      <c r="J1252" s="15" t="n">
        <v>2017</v>
      </c>
      <c r="K1252" s="19" t="s">
        <v>27</v>
      </c>
      <c r="L1252" s="15" t="s">
        <v>28</v>
      </c>
      <c r="M1252" s="15" t="s">
        <v>33</v>
      </c>
      <c r="N1252" s="17" t="s">
        <v>53</v>
      </c>
      <c r="O1252" s="15"/>
      <c r="P1252" s="15"/>
      <c r="Q1252" s="21"/>
      <c r="R1252" s="21"/>
      <c r="S1252" s="21"/>
      <c r="T1252" s="28"/>
      <c r="U1252" s="24"/>
    </row>
    <row r="1253" s="25" customFormat="true" ht="41.4" hidden="false" customHeight="false" outlineLevel="0" collapsed="false">
      <c r="A1253" s="36" t="s">
        <v>2835</v>
      </c>
      <c r="B1253" s="26"/>
      <c r="C1253" s="14" t="s">
        <v>2836</v>
      </c>
      <c r="D1253" s="15" t="n">
        <v>12</v>
      </c>
      <c r="E1253" s="27" t="n">
        <f aca="false">F1253/2</f>
        <v>8400</v>
      </c>
      <c r="F1253" s="16" t="n">
        <v>16800</v>
      </c>
      <c r="G1253" s="15" t="s">
        <v>36</v>
      </c>
      <c r="H1253" s="17" t="s">
        <v>25</v>
      </c>
      <c r="I1253" s="18" t="s">
        <v>26</v>
      </c>
      <c r="J1253" s="15" t="n">
        <v>2023</v>
      </c>
      <c r="K1253" s="19" t="s">
        <v>27</v>
      </c>
      <c r="L1253" s="15" t="s">
        <v>28</v>
      </c>
      <c r="M1253" s="15" t="s">
        <v>33</v>
      </c>
      <c r="N1253" s="17" t="s">
        <v>72</v>
      </c>
      <c r="O1253" s="15" t="s">
        <v>203</v>
      </c>
      <c r="P1253" s="15"/>
      <c r="Q1253" s="21"/>
      <c r="R1253" s="21"/>
      <c r="S1253" s="21"/>
      <c r="T1253" s="31" t="n">
        <v>45901</v>
      </c>
      <c r="U1253" s="24"/>
    </row>
    <row r="1254" s="25" customFormat="true" ht="41.4" hidden="false" customHeight="false" outlineLevel="0" collapsed="false">
      <c r="A1254" s="36" t="s">
        <v>2837</v>
      </c>
      <c r="B1254" s="26" t="s">
        <v>2838</v>
      </c>
      <c r="C1254" s="14" t="s">
        <v>316</v>
      </c>
      <c r="D1254" s="15" t="n">
        <v>10</v>
      </c>
      <c r="E1254" s="27" t="n">
        <f aca="false">F1254/2</f>
        <v>2310</v>
      </c>
      <c r="F1254" s="16" t="n">
        <v>4620</v>
      </c>
      <c r="G1254" s="15" t="s">
        <v>24</v>
      </c>
      <c r="H1254" s="17" t="s">
        <v>25</v>
      </c>
      <c r="I1254" s="18" t="s">
        <v>26</v>
      </c>
      <c r="J1254" s="15" t="n">
        <v>2008</v>
      </c>
      <c r="K1254" s="19" t="s">
        <v>27</v>
      </c>
      <c r="L1254" s="15" t="s">
        <v>28</v>
      </c>
      <c r="M1254" s="15" t="s">
        <v>33</v>
      </c>
      <c r="N1254" s="20" t="s">
        <v>83</v>
      </c>
      <c r="O1254" s="15"/>
      <c r="P1254" s="15"/>
      <c r="Q1254" s="21" t="s">
        <v>939</v>
      </c>
      <c r="R1254" s="21"/>
      <c r="S1254" s="21"/>
      <c r="T1254" s="28"/>
      <c r="U1254" s="24" t="s">
        <v>2839</v>
      </c>
    </row>
    <row r="1255" s="25" customFormat="true" ht="41.4" hidden="false" customHeight="false" outlineLevel="0" collapsed="false">
      <c r="A1255" s="36" t="s">
        <v>2840</v>
      </c>
      <c r="B1255" s="26" t="s">
        <v>2841</v>
      </c>
      <c r="C1255" s="14" t="s">
        <v>488</v>
      </c>
      <c r="D1255" s="15" t="n">
        <v>6</v>
      </c>
      <c r="E1255" s="27" t="n">
        <f aca="false">F1255/2</f>
        <v>17543</v>
      </c>
      <c r="F1255" s="27" t="n">
        <f aca="false">CEILING(29238*1.2,1)</f>
        <v>35086</v>
      </c>
      <c r="G1255" s="15" t="s">
        <v>36</v>
      </c>
      <c r="H1255" s="17" t="s">
        <v>25</v>
      </c>
      <c r="I1255" s="18" t="s">
        <v>26</v>
      </c>
      <c r="J1255" s="15" t="n">
        <v>2022</v>
      </c>
      <c r="K1255" s="19" t="s">
        <v>27</v>
      </c>
      <c r="L1255" s="15" t="s">
        <v>28</v>
      </c>
      <c r="M1255" s="15" t="s">
        <v>33</v>
      </c>
      <c r="N1255" s="20"/>
      <c r="O1255" s="15"/>
      <c r="P1255" s="15"/>
      <c r="Q1255" s="21"/>
      <c r="R1255" s="21"/>
      <c r="S1255" s="21"/>
      <c r="T1255" s="28"/>
      <c r="U1255" s="24"/>
    </row>
    <row r="1256" s="25" customFormat="true" ht="41.4" hidden="false" customHeight="false" outlineLevel="0" collapsed="false">
      <c r="A1256" s="36" t="s">
        <v>2842</v>
      </c>
      <c r="B1256" s="26"/>
      <c r="C1256" s="14" t="s">
        <v>81</v>
      </c>
      <c r="D1256" s="15" t="n">
        <v>4</v>
      </c>
      <c r="E1256" s="16" t="n">
        <f aca="false">F1256/2</f>
        <v>50</v>
      </c>
      <c r="F1256" s="16" t="n">
        <v>100</v>
      </c>
      <c r="G1256" s="15" t="s">
        <v>36</v>
      </c>
      <c r="H1256" s="17" t="s">
        <v>25</v>
      </c>
      <c r="I1256" s="18" t="s">
        <v>26</v>
      </c>
      <c r="J1256" s="15" t="n">
        <v>2024</v>
      </c>
      <c r="K1256" s="19" t="s">
        <v>27</v>
      </c>
      <c r="L1256" s="15" t="s">
        <v>82</v>
      </c>
      <c r="M1256" s="15" t="s">
        <v>33</v>
      </c>
      <c r="N1256" s="17" t="s">
        <v>83</v>
      </c>
      <c r="O1256" s="15"/>
      <c r="P1256" s="15"/>
      <c r="Q1256" s="21"/>
      <c r="R1256" s="21"/>
      <c r="S1256" s="21"/>
      <c r="T1256" s="28"/>
      <c r="U1256" s="24"/>
    </row>
    <row r="1257" customFormat="false" ht="41.4" hidden="false" customHeight="false" outlineLevel="0" collapsed="false">
      <c r="A1257" s="36" t="s">
        <v>2843</v>
      </c>
      <c r="B1257" s="26" t="s">
        <v>2844</v>
      </c>
      <c r="C1257" s="14" t="s">
        <v>148</v>
      </c>
      <c r="D1257" s="15" t="n">
        <v>6</v>
      </c>
      <c r="E1257" s="27" t="n">
        <f aca="false">F1257/2</f>
        <v>2516</v>
      </c>
      <c r="F1257" s="35" t="n">
        <f aca="false">FLOOR(4194*1.2,1)</f>
        <v>5032</v>
      </c>
      <c r="G1257" s="15" t="s">
        <v>36</v>
      </c>
      <c r="H1257" s="17" t="s">
        <v>25</v>
      </c>
      <c r="I1257" s="18" t="s">
        <v>26</v>
      </c>
      <c r="J1257" s="15" t="n">
        <v>2020</v>
      </c>
      <c r="K1257" s="19" t="s">
        <v>27</v>
      </c>
      <c r="L1257" s="15" t="s">
        <v>28</v>
      </c>
      <c r="M1257" s="15" t="s">
        <v>33</v>
      </c>
      <c r="N1257" s="17" t="s">
        <v>83</v>
      </c>
      <c r="O1257" s="15"/>
      <c r="P1257" s="15"/>
      <c r="Q1257" s="21"/>
      <c r="R1257" s="21"/>
      <c r="S1257" s="21"/>
      <c r="T1257" s="31" t="n">
        <v>45882</v>
      </c>
      <c r="U1257" s="34"/>
      <c r="V1257" s="25"/>
      <c r="W1257" s="25"/>
    </row>
    <row r="1258" s="25" customFormat="true" ht="41.4" hidden="false" customHeight="false" outlineLevel="0" collapsed="false">
      <c r="A1258" s="36" t="s">
        <v>2845</v>
      </c>
      <c r="B1258" s="26" t="s">
        <v>2846</v>
      </c>
      <c r="C1258" s="14" t="s">
        <v>2847</v>
      </c>
      <c r="D1258" s="15" t="n">
        <v>6</v>
      </c>
      <c r="E1258" s="27" t="n">
        <f aca="false">F1258/2</f>
        <v>1050</v>
      </c>
      <c r="F1258" s="16" t="n">
        <v>2100</v>
      </c>
      <c r="G1258" s="15" t="s">
        <v>36</v>
      </c>
      <c r="H1258" s="17" t="s">
        <v>25</v>
      </c>
      <c r="I1258" s="18" t="s">
        <v>26</v>
      </c>
      <c r="J1258" s="15" t="n">
        <v>2015</v>
      </c>
      <c r="K1258" s="19" t="s">
        <v>27</v>
      </c>
      <c r="L1258" s="15" t="s">
        <v>28</v>
      </c>
      <c r="M1258" s="15" t="s">
        <v>33</v>
      </c>
      <c r="N1258" s="20" t="s">
        <v>83</v>
      </c>
      <c r="O1258" s="15"/>
      <c r="P1258" s="15"/>
      <c r="Q1258" s="21" t="s">
        <v>302</v>
      </c>
      <c r="R1258" s="21"/>
      <c r="S1258" s="21"/>
      <c r="T1258" s="28"/>
      <c r="U1258" s="24"/>
    </row>
    <row r="1259" s="25" customFormat="true" ht="41.4" hidden="false" customHeight="false" outlineLevel="0" collapsed="false">
      <c r="A1259" s="12" t="s">
        <v>2848</v>
      </c>
      <c r="B1259" s="26" t="s">
        <v>2849</v>
      </c>
      <c r="C1259" s="14" t="s">
        <v>2850</v>
      </c>
      <c r="D1259" s="15" t="n">
        <v>12</v>
      </c>
      <c r="E1259" s="27" t="n">
        <f aca="false">F1259/2</f>
        <v>50</v>
      </c>
      <c r="F1259" s="16" t="n">
        <v>100</v>
      </c>
      <c r="G1259" s="15" t="s">
        <v>36</v>
      </c>
      <c r="H1259" s="17" t="s">
        <v>25</v>
      </c>
      <c r="I1259" s="18" t="s">
        <v>26</v>
      </c>
      <c r="J1259" s="15" t="n">
        <v>2022</v>
      </c>
      <c r="K1259" s="19" t="s">
        <v>27</v>
      </c>
      <c r="L1259" s="15" t="s">
        <v>28</v>
      </c>
      <c r="M1259" s="15" t="s">
        <v>33</v>
      </c>
      <c r="N1259" s="20" t="s">
        <v>53</v>
      </c>
      <c r="O1259" s="15"/>
      <c r="P1259" s="15"/>
      <c r="Q1259" s="21"/>
      <c r="R1259" s="21"/>
      <c r="S1259" s="21"/>
      <c r="T1259" s="28"/>
      <c r="U1259" s="34"/>
    </row>
    <row r="1260" s="25" customFormat="true" ht="41.4" hidden="false" customHeight="false" outlineLevel="0" collapsed="false">
      <c r="A1260" s="36" t="s">
        <v>2851</v>
      </c>
      <c r="B1260" s="26" t="s">
        <v>1781</v>
      </c>
      <c r="C1260" s="14" t="s">
        <v>148</v>
      </c>
      <c r="D1260" s="15" t="n">
        <v>6</v>
      </c>
      <c r="E1260" s="27" t="n">
        <f aca="false">F1260/2</f>
        <v>50</v>
      </c>
      <c r="F1260" s="35" t="n">
        <v>100</v>
      </c>
      <c r="G1260" s="15" t="s">
        <v>36</v>
      </c>
      <c r="H1260" s="17" t="s">
        <v>25</v>
      </c>
      <c r="I1260" s="18" t="s">
        <v>26</v>
      </c>
      <c r="J1260" s="15" t="n">
        <v>2021</v>
      </c>
      <c r="K1260" s="19" t="s">
        <v>27</v>
      </c>
      <c r="L1260" s="15" t="s">
        <v>28</v>
      </c>
      <c r="M1260" s="15" t="s">
        <v>33</v>
      </c>
      <c r="N1260" s="17" t="s">
        <v>83</v>
      </c>
      <c r="O1260" s="15"/>
      <c r="P1260" s="15"/>
      <c r="Q1260" s="21"/>
      <c r="R1260" s="21"/>
      <c r="S1260" s="21"/>
      <c r="T1260" s="31" t="n">
        <v>45882</v>
      </c>
      <c r="U1260" s="34"/>
    </row>
    <row r="1261" s="25" customFormat="true" ht="41.4" hidden="false" customHeight="false" outlineLevel="0" collapsed="false">
      <c r="A1261" s="12" t="s">
        <v>2852</v>
      </c>
      <c r="B1261" s="26" t="s">
        <v>2853</v>
      </c>
      <c r="C1261" s="14"/>
      <c r="D1261" s="15" t="n">
        <v>4</v>
      </c>
      <c r="E1261" s="27" t="n">
        <f aca="false">F1261/2</f>
        <v>700</v>
      </c>
      <c r="F1261" s="16" t="n">
        <v>1400</v>
      </c>
      <c r="G1261" s="15" t="s">
        <v>354</v>
      </c>
      <c r="H1261" s="17" t="s">
        <v>25</v>
      </c>
      <c r="I1261" s="18" t="s">
        <v>26</v>
      </c>
      <c r="J1261" s="15" t="n">
        <v>2016</v>
      </c>
      <c r="K1261" s="19" t="s">
        <v>65</v>
      </c>
      <c r="L1261" s="15" t="s">
        <v>28</v>
      </c>
      <c r="M1261" s="15" t="s">
        <v>33</v>
      </c>
      <c r="N1261" s="17" t="s">
        <v>1019</v>
      </c>
      <c r="O1261" s="15"/>
      <c r="P1261" s="15"/>
      <c r="Q1261" s="21" t="s">
        <v>78</v>
      </c>
      <c r="R1261" s="21"/>
      <c r="S1261" s="21"/>
      <c r="T1261" s="28"/>
      <c r="U1261" s="24"/>
    </row>
    <row r="1262" s="25" customFormat="true" ht="41.4" hidden="false" customHeight="false" outlineLevel="0" collapsed="false">
      <c r="A1262" s="12" t="s">
        <v>2854</v>
      </c>
      <c r="B1262" s="26" t="s">
        <v>2855</v>
      </c>
      <c r="C1262" s="14"/>
      <c r="D1262" s="15" t="n">
        <v>12</v>
      </c>
      <c r="E1262" s="27" t="n">
        <f aca="false">F1262/2</f>
        <v>50</v>
      </c>
      <c r="F1262" s="16" t="n">
        <v>100</v>
      </c>
      <c r="G1262" s="15" t="s">
        <v>36</v>
      </c>
      <c r="H1262" s="17" t="s">
        <v>25</v>
      </c>
      <c r="I1262" s="18" t="s">
        <v>26</v>
      </c>
      <c r="J1262" s="15" t="n">
        <v>2019</v>
      </c>
      <c r="K1262" s="19" t="s">
        <v>27</v>
      </c>
      <c r="L1262" s="15" t="s">
        <v>28</v>
      </c>
      <c r="M1262" s="15" t="s">
        <v>33</v>
      </c>
      <c r="N1262" s="20" t="s">
        <v>83</v>
      </c>
      <c r="O1262" s="15"/>
      <c r="P1262" s="15"/>
      <c r="Q1262" s="21"/>
      <c r="R1262" s="21"/>
      <c r="S1262" s="21"/>
      <c r="T1262" s="28"/>
      <c r="U1262" s="34"/>
      <c r="V1262" s="37"/>
      <c r="W1262" s="37"/>
    </row>
    <row r="1263" s="25" customFormat="true" ht="41.4" hidden="false" customHeight="false" outlineLevel="0" collapsed="false">
      <c r="A1263" s="36" t="s">
        <v>2856</v>
      </c>
      <c r="B1263" s="26" t="s">
        <v>2857</v>
      </c>
      <c r="C1263" s="14" t="s">
        <v>1833</v>
      </c>
      <c r="D1263" s="15" t="n">
        <v>6</v>
      </c>
      <c r="E1263" s="27" t="n">
        <f aca="false">F1263/2</f>
        <v>4200</v>
      </c>
      <c r="F1263" s="16" t="n">
        <v>8400</v>
      </c>
      <c r="G1263" s="15" t="s">
        <v>24</v>
      </c>
      <c r="H1263" s="17" t="s">
        <v>25</v>
      </c>
      <c r="I1263" s="18" t="s">
        <v>26</v>
      </c>
      <c r="J1263" s="15" t="n">
        <v>2013</v>
      </c>
      <c r="K1263" s="19" t="s">
        <v>27</v>
      </c>
      <c r="L1263" s="15" t="s">
        <v>28</v>
      </c>
      <c r="M1263" s="15" t="s">
        <v>33</v>
      </c>
      <c r="N1263" s="17" t="s">
        <v>83</v>
      </c>
      <c r="O1263" s="15"/>
      <c r="P1263" s="15"/>
      <c r="Q1263" s="21" t="s">
        <v>302</v>
      </c>
      <c r="R1263" s="21"/>
      <c r="S1263" s="21"/>
      <c r="T1263" s="28"/>
      <c r="U1263" s="24"/>
    </row>
    <row r="1264" s="25" customFormat="true" ht="41.4" hidden="false" customHeight="false" outlineLevel="0" collapsed="false">
      <c r="A1264" s="12" t="s">
        <v>2858</v>
      </c>
      <c r="B1264" s="26"/>
      <c r="C1264" s="14" t="s">
        <v>816</v>
      </c>
      <c r="D1264" s="15" t="n">
        <v>6</v>
      </c>
      <c r="E1264" s="27" t="n">
        <f aca="false">F1264/2</f>
        <v>900</v>
      </c>
      <c r="F1264" s="16" t="n">
        <v>1800</v>
      </c>
      <c r="G1264" s="15" t="s">
        <v>36</v>
      </c>
      <c r="H1264" s="17" t="s">
        <v>25</v>
      </c>
      <c r="I1264" s="18" t="s">
        <v>26</v>
      </c>
      <c r="J1264" s="15" t="n">
        <v>2013</v>
      </c>
      <c r="K1264" s="19" t="s">
        <v>27</v>
      </c>
      <c r="L1264" s="15" t="s">
        <v>28</v>
      </c>
      <c r="M1264" s="15" t="s">
        <v>33</v>
      </c>
      <c r="N1264" s="17" t="s">
        <v>83</v>
      </c>
      <c r="O1264" s="15"/>
      <c r="P1264" s="15"/>
      <c r="Q1264" s="21" t="s">
        <v>302</v>
      </c>
      <c r="R1264" s="21"/>
      <c r="S1264" s="21"/>
      <c r="T1264" s="28"/>
      <c r="U1264" s="24"/>
    </row>
    <row r="1265" s="25" customFormat="true" ht="41.4" hidden="false" customHeight="false" outlineLevel="0" collapsed="false">
      <c r="A1265" s="12" t="s">
        <v>2859</v>
      </c>
      <c r="B1265" s="26"/>
      <c r="C1265" s="14" t="s">
        <v>985</v>
      </c>
      <c r="D1265" s="15" t="n">
        <v>6</v>
      </c>
      <c r="E1265" s="27" t="n">
        <f aca="false">F1265/2</f>
        <v>1800</v>
      </c>
      <c r="F1265" s="16" t="n">
        <v>3600</v>
      </c>
      <c r="G1265" s="15" t="s">
        <v>36</v>
      </c>
      <c r="H1265" s="17" t="s">
        <v>25</v>
      </c>
      <c r="I1265" s="18" t="s">
        <v>26</v>
      </c>
      <c r="J1265" s="15" t="n">
        <v>2022</v>
      </c>
      <c r="K1265" s="19" t="s">
        <v>27</v>
      </c>
      <c r="L1265" s="15" t="s">
        <v>28</v>
      </c>
      <c r="M1265" s="15" t="s">
        <v>33</v>
      </c>
      <c r="N1265" s="20" t="s">
        <v>83</v>
      </c>
      <c r="O1265" s="15" t="s">
        <v>46</v>
      </c>
      <c r="P1265" s="15"/>
      <c r="Q1265" s="21"/>
      <c r="R1265" s="21"/>
      <c r="S1265" s="21"/>
      <c r="T1265" s="31" t="n">
        <v>45904</v>
      </c>
      <c r="U1265" s="34"/>
    </row>
    <row r="1266" s="25" customFormat="true" ht="41.4" hidden="false" customHeight="false" outlineLevel="0" collapsed="false">
      <c r="A1266" s="12" t="s">
        <v>2860</v>
      </c>
      <c r="B1266" s="26" t="s">
        <v>2861</v>
      </c>
      <c r="C1266" s="14" t="s">
        <v>246</v>
      </c>
      <c r="D1266" s="15" t="n">
        <v>12</v>
      </c>
      <c r="E1266" s="27" t="n">
        <f aca="false">F1266/2</f>
        <v>25176</v>
      </c>
      <c r="F1266" s="38" t="n">
        <v>50352</v>
      </c>
      <c r="G1266" s="15" t="s">
        <v>36</v>
      </c>
      <c r="H1266" s="17" t="s">
        <v>25</v>
      </c>
      <c r="I1266" s="18" t="s">
        <v>26</v>
      </c>
      <c r="J1266" s="15" t="n">
        <v>2017</v>
      </c>
      <c r="K1266" s="19" t="s">
        <v>27</v>
      </c>
      <c r="L1266" s="15" t="s">
        <v>28</v>
      </c>
      <c r="M1266" s="15" t="s">
        <v>33</v>
      </c>
      <c r="N1266" s="20" t="s">
        <v>83</v>
      </c>
      <c r="O1266" s="15"/>
      <c r="P1266" s="15"/>
      <c r="Q1266" s="21" t="s">
        <v>247</v>
      </c>
      <c r="R1266" s="21"/>
      <c r="S1266" s="21"/>
      <c r="T1266" s="31" t="n">
        <v>45882</v>
      </c>
      <c r="U1266" s="24" t="s">
        <v>248</v>
      </c>
    </row>
    <row r="1267" s="25" customFormat="true" ht="41.4" hidden="false" customHeight="false" outlineLevel="0" collapsed="false">
      <c r="A1267" s="12" t="s">
        <v>2862</v>
      </c>
      <c r="B1267" s="26" t="s">
        <v>2863</v>
      </c>
      <c r="C1267" s="14" t="s">
        <v>1549</v>
      </c>
      <c r="D1267" s="15" t="n">
        <v>4</v>
      </c>
      <c r="E1267" s="27" t="n">
        <f aca="false">F1267/2</f>
        <v>2000</v>
      </c>
      <c r="F1267" s="16" t="n">
        <f aca="false">4*1000</f>
        <v>4000</v>
      </c>
      <c r="G1267" s="15" t="s">
        <v>36</v>
      </c>
      <c r="H1267" s="17" t="s">
        <v>25</v>
      </c>
      <c r="I1267" s="18" t="s">
        <v>26</v>
      </c>
      <c r="J1267" s="15" t="n">
        <v>2019</v>
      </c>
      <c r="K1267" s="19" t="s">
        <v>27</v>
      </c>
      <c r="L1267" s="15" t="s">
        <v>28</v>
      </c>
      <c r="M1267" s="15" t="s">
        <v>33</v>
      </c>
      <c r="N1267" s="20" t="s">
        <v>87</v>
      </c>
      <c r="O1267" s="15"/>
      <c r="P1267" s="15"/>
      <c r="Q1267" s="21"/>
      <c r="R1267" s="21"/>
      <c r="S1267" s="21"/>
      <c r="T1267" s="28"/>
      <c r="U1267" s="34"/>
      <c r="V1267" s="37"/>
      <c r="W1267" s="37"/>
    </row>
    <row r="1268" s="25" customFormat="true" ht="68.4" hidden="false" customHeight="false" outlineLevel="0" collapsed="false">
      <c r="A1268" s="12" t="s">
        <v>2864</v>
      </c>
      <c r="B1268" s="26" t="s">
        <v>2865</v>
      </c>
      <c r="C1268" s="14" t="s">
        <v>2866</v>
      </c>
      <c r="D1268" s="15" t="n">
        <v>6</v>
      </c>
      <c r="E1268" s="27" t="n">
        <f aca="false">F1268/2</f>
        <v>2310</v>
      </c>
      <c r="F1268" s="16" t="n">
        <v>4620</v>
      </c>
      <c r="G1268" s="15" t="s">
        <v>24</v>
      </c>
      <c r="H1268" s="17" t="s">
        <v>25</v>
      </c>
      <c r="I1268" s="18" t="s">
        <v>26</v>
      </c>
      <c r="J1268" s="15" t="n">
        <v>2012</v>
      </c>
      <c r="K1268" s="19" t="s">
        <v>27</v>
      </c>
      <c r="L1268" s="15" t="s">
        <v>28</v>
      </c>
      <c r="M1268" s="15" t="s">
        <v>33</v>
      </c>
      <c r="N1268" s="17" t="s">
        <v>53</v>
      </c>
      <c r="O1268" s="15"/>
      <c r="P1268" s="15"/>
      <c r="Q1268" s="21" t="s">
        <v>419</v>
      </c>
      <c r="R1268" s="21"/>
      <c r="S1268" s="21"/>
      <c r="T1268" s="28"/>
      <c r="U1268" s="24" t="s">
        <v>2867</v>
      </c>
    </row>
    <row r="1269" s="25" customFormat="true" ht="41.4" hidden="false" customHeight="false" outlineLevel="0" collapsed="false">
      <c r="A1269" s="12" t="s">
        <v>2868</v>
      </c>
      <c r="B1269" s="26" t="s">
        <v>2869</v>
      </c>
      <c r="C1269" s="14" t="s">
        <v>2870</v>
      </c>
      <c r="D1269" s="15" t="n">
        <v>6</v>
      </c>
      <c r="E1269" s="27" t="n">
        <f aca="false">F1269/2</f>
        <v>1800</v>
      </c>
      <c r="F1269" s="16" t="n">
        <f aca="false">6*600</f>
        <v>3600</v>
      </c>
      <c r="G1269" s="15" t="s">
        <v>24</v>
      </c>
      <c r="H1269" s="17" t="s">
        <v>25</v>
      </c>
      <c r="I1269" s="18" t="s">
        <v>26</v>
      </c>
      <c r="J1269" s="15" t="n">
        <v>2007</v>
      </c>
      <c r="K1269" s="19" t="s">
        <v>52</v>
      </c>
      <c r="L1269" s="15" t="s">
        <v>28</v>
      </c>
      <c r="M1269" s="15" t="s">
        <v>33</v>
      </c>
      <c r="N1269" s="17" t="s">
        <v>72</v>
      </c>
      <c r="O1269" s="15" t="s">
        <v>54</v>
      </c>
      <c r="P1269" s="15"/>
      <c r="Q1269" s="21" t="s">
        <v>73</v>
      </c>
      <c r="R1269" s="21"/>
      <c r="S1269" s="21"/>
      <c r="T1269" s="28"/>
      <c r="U1269" s="24"/>
    </row>
    <row r="1270" s="25" customFormat="true" ht="41.4" hidden="false" customHeight="false" outlineLevel="0" collapsed="false">
      <c r="A1270" s="12" t="s">
        <v>2871</v>
      </c>
      <c r="B1270" s="26" t="s">
        <v>2872</v>
      </c>
      <c r="C1270" s="14" t="s">
        <v>2873</v>
      </c>
      <c r="D1270" s="15" t="n">
        <v>4</v>
      </c>
      <c r="E1270" s="27" t="n">
        <f aca="false">F1270/2</f>
        <v>1870</v>
      </c>
      <c r="F1270" s="16" t="n">
        <v>3740</v>
      </c>
      <c r="G1270" s="15" t="s">
        <v>36</v>
      </c>
      <c r="H1270" s="17" t="s">
        <v>25</v>
      </c>
      <c r="I1270" s="18" t="s">
        <v>26</v>
      </c>
      <c r="J1270" s="15" t="n">
        <v>2022</v>
      </c>
      <c r="K1270" s="19" t="s">
        <v>617</v>
      </c>
      <c r="L1270" s="15" t="s">
        <v>28</v>
      </c>
      <c r="M1270" s="15" t="s">
        <v>33</v>
      </c>
      <c r="N1270" s="20" t="s">
        <v>72</v>
      </c>
      <c r="O1270" s="15"/>
      <c r="P1270" s="15"/>
      <c r="Q1270" s="21"/>
      <c r="R1270" s="21"/>
      <c r="S1270" s="21"/>
      <c r="T1270" s="31" t="n">
        <v>45882</v>
      </c>
      <c r="U1270" s="34"/>
    </row>
    <row r="1271" s="25" customFormat="true" ht="57" hidden="false" customHeight="false" outlineLevel="0" collapsed="false">
      <c r="A1271" s="12" t="s">
        <v>2874</v>
      </c>
      <c r="B1271" s="26" t="s">
        <v>2875</v>
      </c>
      <c r="C1271" s="14"/>
      <c r="D1271" s="15" t="n">
        <v>6</v>
      </c>
      <c r="E1271" s="27" t="n">
        <f aca="false">F1271/2</f>
        <v>1500</v>
      </c>
      <c r="F1271" s="16" t="n">
        <v>3000</v>
      </c>
      <c r="G1271" s="15" t="s">
        <v>354</v>
      </c>
      <c r="H1271" s="17" t="s">
        <v>25</v>
      </c>
      <c r="I1271" s="18" t="s">
        <v>26</v>
      </c>
      <c r="J1271" s="15" t="n">
        <v>2003</v>
      </c>
      <c r="K1271" s="19" t="s">
        <v>27</v>
      </c>
      <c r="L1271" s="15" t="s">
        <v>28</v>
      </c>
      <c r="M1271" s="15" t="s">
        <v>33</v>
      </c>
      <c r="N1271" s="17" t="s">
        <v>184</v>
      </c>
      <c r="O1271" s="15"/>
      <c r="P1271" s="15"/>
      <c r="Q1271" s="21" t="s">
        <v>47</v>
      </c>
      <c r="R1271" s="21"/>
      <c r="S1271" s="21"/>
      <c r="T1271" s="28"/>
      <c r="U1271" s="24" t="s">
        <v>185</v>
      </c>
    </row>
    <row r="1272" s="25" customFormat="true" ht="41.4" hidden="false" customHeight="false" outlineLevel="0" collapsed="false">
      <c r="A1272" s="12" t="s">
        <v>2876</v>
      </c>
      <c r="B1272" s="26" t="s">
        <v>2877</v>
      </c>
      <c r="C1272" s="14" t="s">
        <v>197</v>
      </c>
      <c r="D1272" s="15" t="n">
        <v>4</v>
      </c>
      <c r="E1272" s="27" t="n">
        <f aca="false">F1272/2</f>
        <v>625</v>
      </c>
      <c r="F1272" s="16" t="n">
        <v>1250</v>
      </c>
      <c r="G1272" s="15" t="s">
        <v>36</v>
      </c>
      <c r="H1272" s="17" t="s">
        <v>25</v>
      </c>
      <c r="I1272" s="18" t="s">
        <v>26</v>
      </c>
      <c r="J1272" s="15" t="n">
        <v>2020</v>
      </c>
      <c r="K1272" s="19" t="s">
        <v>27</v>
      </c>
      <c r="L1272" s="15" t="s">
        <v>28</v>
      </c>
      <c r="M1272" s="15" t="s">
        <v>33</v>
      </c>
      <c r="N1272" s="20"/>
      <c r="O1272" s="15"/>
      <c r="P1272" s="15"/>
      <c r="Q1272" s="21"/>
      <c r="R1272" s="21"/>
      <c r="S1272" s="21"/>
      <c r="T1272" s="28"/>
      <c r="U1272" s="34"/>
    </row>
    <row r="1273" s="25" customFormat="true" ht="41.4" hidden="false" customHeight="false" outlineLevel="0" collapsed="false">
      <c r="A1273" s="12" t="s">
        <v>2878</v>
      </c>
      <c r="B1273" s="26" t="s">
        <v>2879</v>
      </c>
      <c r="C1273" s="14" t="s">
        <v>197</v>
      </c>
      <c r="D1273" s="15" t="n">
        <v>4</v>
      </c>
      <c r="E1273" s="27" t="n">
        <f aca="false">F1273/2</f>
        <v>625</v>
      </c>
      <c r="F1273" s="16" t="n">
        <v>1250</v>
      </c>
      <c r="G1273" s="15" t="s">
        <v>36</v>
      </c>
      <c r="H1273" s="17" t="s">
        <v>25</v>
      </c>
      <c r="I1273" s="18" t="s">
        <v>26</v>
      </c>
      <c r="J1273" s="15" t="n">
        <v>2020</v>
      </c>
      <c r="K1273" s="19" t="s">
        <v>27</v>
      </c>
      <c r="L1273" s="15" t="s">
        <v>28</v>
      </c>
      <c r="M1273" s="15" t="s">
        <v>29</v>
      </c>
      <c r="N1273" s="20"/>
      <c r="O1273" s="15"/>
      <c r="P1273" s="15"/>
      <c r="Q1273" s="21"/>
      <c r="R1273" s="21"/>
      <c r="S1273" s="21"/>
      <c r="T1273" s="28"/>
      <c r="U1273" s="34"/>
    </row>
    <row r="1274" s="25" customFormat="true" ht="41.4" hidden="false" customHeight="false" outlineLevel="0" collapsed="false">
      <c r="A1274" s="12" t="s">
        <v>2880</v>
      </c>
      <c r="B1274" s="26" t="s">
        <v>2881</v>
      </c>
      <c r="C1274" s="14" t="s">
        <v>197</v>
      </c>
      <c r="D1274" s="15" t="n">
        <v>4</v>
      </c>
      <c r="E1274" s="27" t="n">
        <f aca="false">F1274/2</f>
        <v>750</v>
      </c>
      <c r="F1274" s="16" t="n">
        <v>1500</v>
      </c>
      <c r="G1274" s="15" t="s">
        <v>36</v>
      </c>
      <c r="H1274" s="17" t="s">
        <v>25</v>
      </c>
      <c r="I1274" s="18" t="s">
        <v>26</v>
      </c>
      <c r="J1274" s="15" t="n">
        <v>2020</v>
      </c>
      <c r="K1274" s="19" t="s">
        <v>27</v>
      </c>
      <c r="L1274" s="15" t="s">
        <v>28</v>
      </c>
      <c r="M1274" s="15" t="s">
        <v>33</v>
      </c>
      <c r="N1274" s="20"/>
      <c r="O1274" s="15"/>
      <c r="P1274" s="15"/>
      <c r="Q1274" s="21"/>
      <c r="R1274" s="21"/>
      <c r="S1274" s="21"/>
      <c r="T1274" s="28"/>
      <c r="U1274" s="34"/>
    </row>
    <row r="1275" s="25" customFormat="true" ht="41.4" hidden="false" customHeight="false" outlineLevel="0" collapsed="false">
      <c r="A1275" s="12" t="s">
        <v>2882</v>
      </c>
      <c r="B1275" s="26" t="s">
        <v>2883</v>
      </c>
      <c r="C1275" s="14"/>
      <c r="D1275" s="15" t="n">
        <v>4</v>
      </c>
      <c r="E1275" s="27" t="n">
        <f aca="false">F1275/2</f>
        <v>1180</v>
      </c>
      <c r="F1275" s="16" t="n">
        <v>2360</v>
      </c>
      <c r="G1275" s="15" t="s">
        <v>354</v>
      </c>
      <c r="H1275" s="17" t="s">
        <v>25</v>
      </c>
      <c r="I1275" s="18" t="s">
        <v>26</v>
      </c>
      <c r="J1275" s="15" t="n">
        <v>2018</v>
      </c>
      <c r="K1275" s="19" t="s">
        <v>27</v>
      </c>
      <c r="L1275" s="15" t="s">
        <v>28</v>
      </c>
      <c r="M1275" s="15" t="s">
        <v>33</v>
      </c>
      <c r="N1275" s="17"/>
      <c r="O1275" s="15"/>
      <c r="P1275" s="15"/>
      <c r="Q1275" s="21" t="s">
        <v>78</v>
      </c>
      <c r="R1275" s="21"/>
      <c r="S1275" s="21"/>
      <c r="T1275" s="28"/>
      <c r="U1275" s="24"/>
    </row>
    <row r="1276" s="25" customFormat="true" ht="41.4" hidden="false" customHeight="false" outlineLevel="0" collapsed="false">
      <c r="A1276" s="36" t="s">
        <v>2884</v>
      </c>
      <c r="B1276" s="26" t="s">
        <v>2885</v>
      </c>
      <c r="C1276" s="14" t="s">
        <v>192</v>
      </c>
      <c r="D1276" s="15" t="n">
        <v>4</v>
      </c>
      <c r="E1276" s="27" t="n">
        <f aca="false">F1276/2</f>
        <v>900</v>
      </c>
      <c r="F1276" s="16" t="n">
        <v>1800</v>
      </c>
      <c r="G1276" s="15" t="s">
        <v>36</v>
      </c>
      <c r="H1276" s="17" t="s">
        <v>25</v>
      </c>
      <c r="I1276" s="18" t="s">
        <v>26</v>
      </c>
      <c r="J1276" s="15" t="n">
        <v>2017</v>
      </c>
      <c r="K1276" s="19" t="s">
        <v>27</v>
      </c>
      <c r="L1276" s="15" t="s">
        <v>28</v>
      </c>
      <c r="M1276" s="15" t="s">
        <v>33</v>
      </c>
      <c r="N1276" s="17" t="s">
        <v>160</v>
      </c>
      <c r="O1276" s="15"/>
      <c r="P1276" s="15"/>
      <c r="Q1276" s="21"/>
      <c r="R1276" s="21"/>
      <c r="S1276" s="21"/>
      <c r="T1276" s="28"/>
      <c r="U1276" s="24"/>
    </row>
    <row r="1277" s="25" customFormat="true" ht="41.4" hidden="false" customHeight="false" outlineLevel="0" collapsed="false">
      <c r="A1277" s="88" t="s">
        <v>2886</v>
      </c>
      <c r="B1277" s="26"/>
      <c r="C1277" s="14" t="s">
        <v>264</v>
      </c>
      <c r="D1277" s="15" t="n">
        <v>6</v>
      </c>
      <c r="E1277" s="27" t="n">
        <f aca="false">F1277/2</f>
        <v>8905.68</v>
      </c>
      <c r="F1277" s="16" t="n">
        <f aca="false">19152*0.93</f>
        <v>17811.36</v>
      </c>
      <c r="G1277" s="15" t="s">
        <v>36</v>
      </c>
      <c r="H1277" s="17" t="s">
        <v>25</v>
      </c>
      <c r="I1277" s="18" t="s">
        <v>26</v>
      </c>
      <c r="J1277" s="15" t="n">
        <v>2024</v>
      </c>
      <c r="K1277" s="19" t="s">
        <v>27</v>
      </c>
      <c r="L1277" s="15" t="s">
        <v>28</v>
      </c>
      <c r="M1277" s="15" t="s">
        <v>33</v>
      </c>
      <c r="N1277" s="17"/>
      <c r="O1277" s="15"/>
      <c r="P1277" s="15"/>
      <c r="Q1277" s="21"/>
      <c r="R1277" s="21"/>
      <c r="S1277" s="21"/>
      <c r="T1277" s="31" t="n">
        <v>45880</v>
      </c>
      <c r="U1277" s="24"/>
    </row>
    <row r="1278" s="25" customFormat="true" ht="41.4" hidden="false" customHeight="false" outlineLevel="0" collapsed="false">
      <c r="A1278" s="12" t="s">
        <v>2887</v>
      </c>
      <c r="B1278" s="26" t="s">
        <v>2888</v>
      </c>
      <c r="C1278" s="14" t="s">
        <v>246</v>
      </c>
      <c r="D1278" s="15" t="n">
        <v>4</v>
      </c>
      <c r="E1278" s="27" t="n">
        <f aca="false">F1278/2</f>
        <v>2616.5</v>
      </c>
      <c r="F1278" s="38" t="n">
        <v>5233</v>
      </c>
      <c r="G1278" s="15" t="s">
        <v>24</v>
      </c>
      <c r="H1278" s="17" t="s">
        <v>25</v>
      </c>
      <c r="I1278" s="18" t="s">
        <v>26</v>
      </c>
      <c r="J1278" s="15" t="n">
        <v>2000</v>
      </c>
      <c r="K1278" s="19" t="s">
        <v>65</v>
      </c>
      <c r="L1278" s="15" t="s">
        <v>28</v>
      </c>
      <c r="M1278" s="15" t="s">
        <v>33</v>
      </c>
      <c r="N1278" s="17" t="s">
        <v>160</v>
      </c>
      <c r="O1278" s="15"/>
      <c r="P1278" s="15"/>
      <c r="Q1278" s="21" t="s">
        <v>47</v>
      </c>
      <c r="R1278" s="21"/>
      <c r="S1278" s="21"/>
      <c r="T1278" s="31" t="n">
        <v>45882</v>
      </c>
      <c r="U1278" s="24" t="s">
        <v>2889</v>
      </c>
    </row>
    <row r="1279" s="25" customFormat="true" ht="41.4" hidden="false" customHeight="false" outlineLevel="0" collapsed="false">
      <c r="A1279" s="12" t="s">
        <v>2890</v>
      </c>
      <c r="B1279" s="26" t="s">
        <v>2891</v>
      </c>
      <c r="C1279" s="14" t="s">
        <v>246</v>
      </c>
      <c r="D1279" s="15" t="n">
        <v>6</v>
      </c>
      <c r="E1279" s="27" t="n">
        <f aca="false">F1279/2</f>
        <v>3012.5</v>
      </c>
      <c r="F1279" s="38" t="n">
        <v>6025</v>
      </c>
      <c r="G1279" s="15" t="s">
        <v>24</v>
      </c>
      <c r="H1279" s="17" t="s">
        <v>25</v>
      </c>
      <c r="I1279" s="18" t="s">
        <v>26</v>
      </c>
      <c r="J1279" s="15" t="n">
        <v>2000</v>
      </c>
      <c r="K1279" s="19" t="s">
        <v>27</v>
      </c>
      <c r="L1279" s="15" t="s">
        <v>28</v>
      </c>
      <c r="M1279" s="15" t="s">
        <v>33</v>
      </c>
      <c r="N1279" s="17" t="s">
        <v>160</v>
      </c>
      <c r="O1279" s="15"/>
      <c r="P1279" s="15"/>
      <c r="Q1279" s="21" t="s">
        <v>280</v>
      </c>
      <c r="R1279" s="21"/>
      <c r="S1279" s="21"/>
      <c r="T1279" s="31" t="n">
        <v>45882</v>
      </c>
      <c r="U1279" s="24" t="s">
        <v>2892</v>
      </c>
      <c r="V1279" s="37"/>
      <c r="W1279" s="37"/>
    </row>
    <row r="1280" s="25" customFormat="true" ht="41.4" hidden="false" customHeight="false" outlineLevel="0" collapsed="false">
      <c r="A1280" s="12" t="s">
        <v>2893</v>
      </c>
      <c r="B1280" s="26"/>
      <c r="C1280" s="14" t="s">
        <v>2894</v>
      </c>
      <c r="D1280" s="15" t="n">
        <v>6</v>
      </c>
      <c r="E1280" s="27" t="n">
        <f aca="false">F1280/2</f>
        <v>2250</v>
      </c>
      <c r="F1280" s="16" t="n">
        <v>4500</v>
      </c>
      <c r="G1280" s="15" t="s">
        <v>36</v>
      </c>
      <c r="H1280" s="17" t="s">
        <v>25</v>
      </c>
      <c r="I1280" s="18" t="s">
        <v>26</v>
      </c>
      <c r="J1280" s="15" t="n">
        <v>2023</v>
      </c>
      <c r="K1280" s="19" t="s">
        <v>27</v>
      </c>
      <c r="L1280" s="15" t="s">
        <v>28</v>
      </c>
      <c r="M1280" s="15" t="s">
        <v>33</v>
      </c>
      <c r="N1280" s="17"/>
      <c r="O1280" s="15"/>
      <c r="P1280" s="15"/>
      <c r="Q1280" s="21"/>
      <c r="R1280" s="21"/>
      <c r="S1280" s="21"/>
      <c r="T1280" s="28"/>
      <c r="U1280" s="24"/>
    </row>
    <row r="1281" s="25" customFormat="true" ht="41.4" hidden="false" customHeight="false" outlineLevel="0" collapsed="false">
      <c r="A1281" s="12" t="s">
        <v>2895</v>
      </c>
      <c r="B1281" s="26" t="s">
        <v>2896</v>
      </c>
      <c r="C1281" s="14" t="s">
        <v>475</v>
      </c>
      <c r="D1281" s="15" t="n">
        <v>6</v>
      </c>
      <c r="E1281" s="27" t="n">
        <f aca="false">F1281/2</f>
        <v>21600</v>
      </c>
      <c r="F1281" s="16" t="n">
        <f aca="false">18000*2*1.2</f>
        <v>43200</v>
      </c>
      <c r="G1281" s="15" t="s">
        <v>36</v>
      </c>
      <c r="H1281" s="17" t="s">
        <v>25</v>
      </c>
      <c r="I1281" s="18" t="s">
        <v>26</v>
      </c>
      <c r="J1281" s="15" t="n">
        <v>2019</v>
      </c>
      <c r="K1281" s="19" t="s">
        <v>27</v>
      </c>
      <c r="L1281" s="15" t="s">
        <v>28</v>
      </c>
      <c r="M1281" s="15" t="s">
        <v>33</v>
      </c>
      <c r="N1281" s="17" t="s">
        <v>45</v>
      </c>
      <c r="O1281" s="15" t="s">
        <v>54</v>
      </c>
      <c r="P1281" s="15"/>
      <c r="Q1281" s="21" t="s">
        <v>2897</v>
      </c>
      <c r="R1281" s="21"/>
      <c r="S1281" s="21"/>
      <c r="T1281" s="31" t="n">
        <v>45846</v>
      </c>
      <c r="U1281" s="24"/>
    </row>
    <row r="1282" s="25" customFormat="true" ht="41.4" hidden="false" customHeight="false" outlineLevel="0" collapsed="false">
      <c r="A1282" s="12" t="s">
        <v>2898</v>
      </c>
      <c r="B1282" s="26"/>
      <c r="C1282" s="14" t="s">
        <v>81</v>
      </c>
      <c r="D1282" s="15" t="n">
        <v>4</v>
      </c>
      <c r="E1282" s="16" t="n">
        <f aca="false">F1282/2</f>
        <v>50</v>
      </c>
      <c r="F1282" s="16" t="n">
        <v>100</v>
      </c>
      <c r="G1282" s="15" t="s">
        <v>36</v>
      </c>
      <c r="H1282" s="17" t="s">
        <v>25</v>
      </c>
      <c r="I1282" s="18" t="s">
        <v>26</v>
      </c>
      <c r="J1282" s="15" t="n">
        <v>2024</v>
      </c>
      <c r="K1282" s="19" t="s">
        <v>27</v>
      </c>
      <c r="L1282" s="15" t="s">
        <v>82</v>
      </c>
      <c r="M1282" s="15" t="s">
        <v>33</v>
      </c>
      <c r="N1282" s="17" t="s">
        <v>83</v>
      </c>
      <c r="O1282" s="15"/>
      <c r="P1282" s="15"/>
      <c r="Q1282" s="21"/>
      <c r="R1282" s="21"/>
      <c r="S1282" s="21"/>
      <c r="T1282" s="28"/>
      <c r="U1282" s="24"/>
    </row>
    <row r="1283" s="25" customFormat="true" ht="41.4" hidden="false" customHeight="false" outlineLevel="0" collapsed="false">
      <c r="A1283" s="12" t="s">
        <v>2899</v>
      </c>
      <c r="B1283" s="26" t="s">
        <v>2900</v>
      </c>
      <c r="C1283" s="14" t="s">
        <v>2901</v>
      </c>
      <c r="D1283" s="15" t="n">
        <v>6</v>
      </c>
      <c r="E1283" s="27" t="n">
        <f aca="false">F1283/2</f>
        <v>11550</v>
      </c>
      <c r="F1283" s="16" t="n">
        <f aca="false">3850*6</f>
        <v>23100</v>
      </c>
      <c r="G1283" s="15" t="s">
        <v>36</v>
      </c>
      <c r="H1283" s="17" t="s">
        <v>25</v>
      </c>
      <c r="I1283" s="18" t="s">
        <v>26</v>
      </c>
      <c r="J1283" s="15" t="n">
        <v>2014</v>
      </c>
      <c r="K1283" s="19" t="s">
        <v>27</v>
      </c>
      <c r="L1283" s="15" t="s">
        <v>28</v>
      </c>
      <c r="M1283" s="15" t="s">
        <v>33</v>
      </c>
      <c r="N1283" s="17" t="s">
        <v>45</v>
      </c>
      <c r="O1283" s="15"/>
      <c r="P1283" s="15"/>
      <c r="Q1283" s="21" t="s">
        <v>1972</v>
      </c>
      <c r="R1283" s="21"/>
      <c r="S1283" s="21"/>
      <c r="T1283" s="31" t="n">
        <v>45882</v>
      </c>
      <c r="U1283" s="24"/>
    </row>
    <row r="1284" s="25" customFormat="true" ht="55.2" hidden="false" customHeight="false" outlineLevel="0" collapsed="false">
      <c r="A1284" s="12" t="s">
        <v>2902</v>
      </c>
      <c r="B1284" s="26" t="s">
        <v>2903</v>
      </c>
      <c r="C1284" s="14" t="s">
        <v>2076</v>
      </c>
      <c r="D1284" s="15" t="n">
        <v>6</v>
      </c>
      <c r="E1284" s="27" t="n">
        <v>1800</v>
      </c>
      <c r="F1284" s="16" t="n">
        <v>3500</v>
      </c>
      <c r="G1284" s="15" t="s">
        <v>36</v>
      </c>
      <c r="H1284" s="17" t="s">
        <v>25</v>
      </c>
      <c r="I1284" s="18" t="s">
        <v>26</v>
      </c>
      <c r="J1284" s="15" t="n">
        <v>2016</v>
      </c>
      <c r="K1284" s="19" t="s">
        <v>27</v>
      </c>
      <c r="L1284" s="15" t="s">
        <v>28</v>
      </c>
      <c r="M1284" s="15" t="s">
        <v>33</v>
      </c>
      <c r="N1284" s="17" t="s">
        <v>45</v>
      </c>
      <c r="O1284" s="15"/>
      <c r="P1284" s="15"/>
      <c r="Q1284" s="21" t="s">
        <v>78</v>
      </c>
      <c r="R1284" s="21"/>
      <c r="S1284" s="21"/>
      <c r="T1284" s="28"/>
      <c r="U1284" s="24"/>
      <c r="V1284" s="37"/>
      <c r="W1284" s="37"/>
    </row>
    <row r="1285" s="25" customFormat="true" ht="41.4" hidden="false" customHeight="false" outlineLevel="0" collapsed="false">
      <c r="A1285" s="81" t="s">
        <v>2904</v>
      </c>
      <c r="B1285" s="26" t="s">
        <v>2905</v>
      </c>
      <c r="C1285" s="14" t="s">
        <v>264</v>
      </c>
      <c r="D1285" s="15" t="n">
        <v>12</v>
      </c>
      <c r="E1285" s="27" t="n">
        <f aca="false">F1285/2</f>
        <v>52161.84</v>
      </c>
      <c r="F1285" s="16" t="n">
        <f aca="false">112176*0.93</f>
        <v>104323.68</v>
      </c>
      <c r="G1285" s="15" t="s">
        <v>36</v>
      </c>
      <c r="H1285" s="17" t="s">
        <v>25</v>
      </c>
      <c r="I1285" s="18" t="s">
        <v>26</v>
      </c>
      <c r="J1285" s="15" t="n">
        <v>2024</v>
      </c>
      <c r="K1285" s="19" t="s">
        <v>27</v>
      </c>
      <c r="L1285" s="15" t="s">
        <v>28</v>
      </c>
      <c r="M1285" s="15" t="s">
        <v>33</v>
      </c>
      <c r="N1285" s="17"/>
      <c r="O1285" s="15"/>
      <c r="P1285" s="15"/>
      <c r="Q1285" s="21"/>
      <c r="R1285" s="21"/>
      <c r="S1285" s="21"/>
      <c r="T1285" s="31" t="n">
        <v>45880</v>
      </c>
      <c r="U1285" s="24"/>
      <c r="V1285" s="37"/>
      <c r="W1285" s="37"/>
    </row>
    <row r="1286" s="25" customFormat="true" ht="41.4" hidden="false" customHeight="false" outlineLevel="0" collapsed="false">
      <c r="A1286" s="12" t="s">
        <v>2906</v>
      </c>
      <c r="B1286" s="26" t="s">
        <v>2907</v>
      </c>
      <c r="C1286" s="14"/>
      <c r="D1286" s="15" t="n">
        <v>6</v>
      </c>
      <c r="E1286" s="27" t="n">
        <v>2700</v>
      </c>
      <c r="F1286" s="16" t="n">
        <v>5400</v>
      </c>
      <c r="G1286" s="15" t="s">
        <v>354</v>
      </c>
      <c r="H1286" s="17" t="s">
        <v>25</v>
      </c>
      <c r="I1286" s="18" t="s">
        <v>26</v>
      </c>
      <c r="J1286" s="15" t="n">
        <v>2014</v>
      </c>
      <c r="K1286" s="19" t="s">
        <v>27</v>
      </c>
      <c r="L1286" s="15" t="s">
        <v>28</v>
      </c>
      <c r="M1286" s="15" t="s">
        <v>33</v>
      </c>
      <c r="N1286" s="20" t="s">
        <v>270</v>
      </c>
      <c r="O1286" s="15"/>
      <c r="P1286" s="15"/>
      <c r="Q1286" s="21" t="s">
        <v>78</v>
      </c>
      <c r="R1286" s="21"/>
      <c r="S1286" s="21"/>
      <c r="T1286" s="28"/>
      <c r="U1286" s="24"/>
    </row>
    <row r="1287" s="25" customFormat="true" ht="41.4" hidden="false" customHeight="false" outlineLevel="0" collapsed="false">
      <c r="A1287" s="80" t="s">
        <v>2908</v>
      </c>
      <c r="B1287" s="26" t="s">
        <v>2909</v>
      </c>
      <c r="C1287" s="14" t="s">
        <v>264</v>
      </c>
      <c r="D1287" s="30" t="n">
        <v>12</v>
      </c>
      <c r="E1287" s="16" t="n">
        <f aca="false">F1287/2</f>
        <v>47709</v>
      </c>
      <c r="F1287" s="16" t="n">
        <f aca="false">102600*0.93</f>
        <v>95418</v>
      </c>
      <c r="G1287" s="15" t="s">
        <v>36</v>
      </c>
      <c r="H1287" s="17" t="s">
        <v>25</v>
      </c>
      <c r="I1287" s="18" t="s">
        <v>26</v>
      </c>
      <c r="J1287" s="15" t="n">
        <v>2024</v>
      </c>
      <c r="K1287" s="19" t="s">
        <v>27</v>
      </c>
      <c r="L1287" s="15" t="s">
        <v>28</v>
      </c>
      <c r="M1287" s="15" t="s">
        <v>33</v>
      </c>
      <c r="N1287" s="17" t="s">
        <v>83</v>
      </c>
      <c r="O1287" s="60"/>
      <c r="P1287" s="60"/>
      <c r="Q1287" s="21"/>
      <c r="R1287" s="21"/>
      <c r="S1287" s="40"/>
      <c r="T1287" s="31" t="n">
        <v>45880</v>
      </c>
      <c r="U1287" s="41"/>
    </row>
    <row r="1288" s="25" customFormat="true" ht="41.4" hidden="false" customHeight="false" outlineLevel="0" collapsed="false">
      <c r="A1288" s="12" t="s">
        <v>2910</v>
      </c>
      <c r="B1288" s="26" t="s">
        <v>2911</v>
      </c>
      <c r="C1288" s="14"/>
      <c r="D1288" s="15" t="n">
        <v>6</v>
      </c>
      <c r="E1288" s="27" t="n">
        <f aca="false">F1288/2</f>
        <v>1188</v>
      </c>
      <c r="F1288" s="16" t="n">
        <v>2376</v>
      </c>
      <c r="G1288" s="15" t="s">
        <v>354</v>
      </c>
      <c r="H1288" s="17" t="s">
        <v>25</v>
      </c>
      <c r="I1288" s="18" t="s">
        <v>26</v>
      </c>
      <c r="J1288" s="15"/>
      <c r="K1288" s="19" t="s">
        <v>27</v>
      </c>
      <c r="L1288" s="15" t="s">
        <v>28</v>
      </c>
      <c r="M1288" s="15" t="s">
        <v>33</v>
      </c>
      <c r="N1288" s="17"/>
      <c r="O1288" s="15"/>
      <c r="P1288" s="15"/>
      <c r="Q1288" s="21" t="s">
        <v>78</v>
      </c>
      <c r="R1288" s="21"/>
      <c r="S1288" s="21"/>
      <c r="T1288" s="28"/>
      <c r="U1288" s="24"/>
    </row>
    <row r="1289" s="25" customFormat="true" ht="41.4" hidden="false" customHeight="false" outlineLevel="0" collapsed="false">
      <c r="A1289" s="12" t="s">
        <v>2912</v>
      </c>
      <c r="B1289" s="26" t="s">
        <v>2913</v>
      </c>
      <c r="C1289" s="14" t="s">
        <v>1776</v>
      </c>
      <c r="D1289" s="15" t="n">
        <v>6</v>
      </c>
      <c r="E1289" s="27" t="n">
        <f aca="false">F1289/2</f>
        <v>30780</v>
      </c>
      <c r="F1289" s="16" t="n">
        <f aca="false">CEILING(51300*1.2,1)</f>
        <v>61560</v>
      </c>
      <c r="G1289" s="15" t="s">
        <v>36</v>
      </c>
      <c r="H1289" s="17" t="s">
        <v>25</v>
      </c>
      <c r="I1289" s="18" t="s">
        <v>26</v>
      </c>
      <c r="J1289" s="15" t="n">
        <v>2020</v>
      </c>
      <c r="K1289" s="19" t="s">
        <v>27</v>
      </c>
      <c r="L1289" s="15" t="s">
        <v>28</v>
      </c>
      <c r="M1289" s="15" t="s">
        <v>33</v>
      </c>
      <c r="N1289" s="20" t="s">
        <v>431</v>
      </c>
      <c r="O1289" s="15"/>
      <c r="P1289" s="15"/>
      <c r="Q1289" s="21"/>
      <c r="R1289" s="21"/>
      <c r="S1289" s="21"/>
      <c r="T1289" s="31" t="n">
        <v>45919</v>
      </c>
      <c r="U1289" s="34"/>
    </row>
    <row r="1290" s="25" customFormat="true" ht="41.4" hidden="false" customHeight="false" outlineLevel="0" collapsed="false">
      <c r="A1290" s="12" t="s">
        <v>2914</v>
      </c>
      <c r="B1290" s="26"/>
      <c r="C1290" s="14" t="s">
        <v>2915</v>
      </c>
      <c r="D1290" s="15" t="n">
        <v>12</v>
      </c>
      <c r="E1290" s="27" t="n">
        <f aca="false">F1290/2</f>
        <v>5616</v>
      </c>
      <c r="F1290" s="16" t="n">
        <f aca="false">9360*1.2</f>
        <v>11232</v>
      </c>
      <c r="G1290" s="15" t="s">
        <v>36</v>
      </c>
      <c r="H1290" s="17" t="s">
        <v>25</v>
      </c>
      <c r="I1290" s="18" t="s">
        <v>26</v>
      </c>
      <c r="J1290" s="15" t="n">
        <v>2023</v>
      </c>
      <c r="K1290" s="19" t="s">
        <v>27</v>
      </c>
      <c r="L1290" s="15" t="s">
        <v>28</v>
      </c>
      <c r="M1290" s="15" t="s">
        <v>33</v>
      </c>
      <c r="N1290" s="17"/>
      <c r="O1290" s="15"/>
      <c r="P1290" s="15"/>
      <c r="Q1290" s="21"/>
      <c r="R1290" s="21"/>
      <c r="S1290" s="21"/>
      <c r="T1290" s="28"/>
      <c r="U1290" s="24"/>
    </row>
    <row r="1291" s="25" customFormat="true" ht="41.4" hidden="false" customHeight="false" outlineLevel="0" collapsed="false">
      <c r="A1291" s="12" t="s">
        <v>2916</v>
      </c>
      <c r="B1291" s="26"/>
      <c r="C1291" s="14" t="s">
        <v>81</v>
      </c>
      <c r="D1291" s="15" t="n">
        <v>4</v>
      </c>
      <c r="E1291" s="16" t="n">
        <f aca="false">F1291/2</f>
        <v>50</v>
      </c>
      <c r="F1291" s="16" t="n">
        <v>100</v>
      </c>
      <c r="G1291" s="15" t="s">
        <v>36</v>
      </c>
      <c r="H1291" s="17" t="s">
        <v>25</v>
      </c>
      <c r="I1291" s="18" t="s">
        <v>26</v>
      </c>
      <c r="J1291" s="15" t="n">
        <v>2024</v>
      </c>
      <c r="K1291" s="19" t="s">
        <v>27</v>
      </c>
      <c r="L1291" s="15" t="s">
        <v>82</v>
      </c>
      <c r="M1291" s="15" t="s">
        <v>33</v>
      </c>
      <c r="N1291" s="17" t="s">
        <v>83</v>
      </c>
      <c r="O1291" s="15"/>
      <c r="P1291" s="15"/>
      <c r="Q1291" s="21"/>
      <c r="R1291" s="21"/>
      <c r="S1291" s="21"/>
      <c r="T1291" s="28"/>
      <c r="U1291" s="24"/>
    </row>
    <row r="1292" s="25" customFormat="true" ht="41.4" hidden="false" customHeight="false" outlineLevel="0" collapsed="false">
      <c r="A1292" s="12" t="s">
        <v>2917</v>
      </c>
      <c r="B1292" s="26" t="s">
        <v>2918</v>
      </c>
      <c r="C1292" s="14" t="s">
        <v>2919</v>
      </c>
      <c r="D1292" s="15" t="n">
        <v>10</v>
      </c>
      <c r="E1292" s="27" t="n">
        <f aca="false">F1292/2</f>
        <v>2940</v>
      </c>
      <c r="F1292" s="16" t="n">
        <v>5880</v>
      </c>
      <c r="G1292" s="15" t="s">
        <v>36</v>
      </c>
      <c r="H1292" s="17" t="s">
        <v>25</v>
      </c>
      <c r="I1292" s="18" t="s">
        <v>26</v>
      </c>
      <c r="J1292" s="15"/>
      <c r="K1292" s="19" t="s">
        <v>27</v>
      </c>
      <c r="L1292" s="15" t="s">
        <v>28</v>
      </c>
      <c r="M1292" s="15" t="s">
        <v>33</v>
      </c>
      <c r="N1292" s="20" t="s">
        <v>270</v>
      </c>
      <c r="O1292" s="15"/>
      <c r="P1292" s="15"/>
      <c r="Q1292" s="21"/>
      <c r="R1292" s="21"/>
      <c r="S1292" s="21"/>
      <c r="T1292" s="28"/>
      <c r="U1292" s="34"/>
      <c r="V1292" s="37"/>
      <c r="W1292" s="37"/>
    </row>
    <row r="1293" s="25" customFormat="true" ht="41.4" hidden="false" customHeight="false" outlineLevel="0" collapsed="false">
      <c r="A1293" s="12" t="s">
        <v>2920</v>
      </c>
      <c r="B1293" s="26" t="s">
        <v>2921</v>
      </c>
      <c r="C1293" s="14" t="s">
        <v>2428</v>
      </c>
      <c r="D1293" s="15" t="n">
        <v>4</v>
      </c>
      <c r="E1293" s="27" t="n">
        <f aca="false">F1293/2</f>
        <v>1000</v>
      </c>
      <c r="F1293" s="16" t="n">
        <v>2000</v>
      </c>
      <c r="G1293" s="15" t="s">
        <v>24</v>
      </c>
      <c r="H1293" s="17" t="s">
        <v>25</v>
      </c>
      <c r="I1293" s="18" t="s">
        <v>26</v>
      </c>
      <c r="J1293" s="15" t="n">
        <v>2000</v>
      </c>
      <c r="K1293" s="19" t="s">
        <v>27</v>
      </c>
      <c r="L1293" s="15" t="s">
        <v>28</v>
      </c>
      <c r="M1293" s="15" t="s">
        <v>33</v>
      </c>
      <c r="N1293" s="17" t="s">
        <v>83</v>
      </c>
      <c r="O1293" s="15"/>
      <c r="P1293" s="15"/>
      <c r="Q1293" s="21" t="s">
        <v>302</v>
      </c>
      <c r="R1293" s="21"/>
      <c r="S1293" s="21"/>
      <c r="T1293" s="28"/>
      <c r="U1293" s="24"/>
    </row>
    <row r="1294" s="25" customFormat="true" ht="41.4" hidden="false" customHeight="false" outlineLevel="0" collapsed="false">
      <c r="A1294" s="12" t="s">
        <v>2922</v>
      </c>
      <c r="B1294" s="26"/>
      <c r="C1294" s="14" t="s">
        <v>414</v>
      </c>
      <c r="D1294" s="15" t="n">
        <v>2</v>
      </c>
      <c r="E1294" s="27" t="n">
        <f aca="false">F1294/2</f>
        <v>1900</v>
      </c>
      <c r="F1294" s="16" t="n">
        <v>3800</v>
      </c>
      <c r="G1294" s="15" t="s">
        <v>36</v>
      </c>
      <c r="H1294" s="17" t="s">
        <v>25</v>
      </c>
      <c r="I1294" s="18" t="s">
        <v>26</v>
      </c>
      <c r="J1294" s="15" t="n">
        <v>2025</v>
      </c>
      <c r="K1294" s="19" t="s">
        <v>27</v>
      </c>
      <c r="L1294" s="15" t="s">
        <v>28</v>
      </c>
      <c r="M1294" s="15" t="s">
        <v>33</v>
      </c>
      <c r="N1294" s="17" t="s">
        <v>415</v>
      </c>
      <c r="O1294" s="15"/>
      <c r="P1294" s="15"/>
      <c r="Q1294" s="21"/>
      <c r="R1294" s="21"/>
      <c r="S1294" s="21"/>
      <c r="T1294" s="28"/>
      <c r="U1294" s="24"/>
    </row>
    <row r="1295" s="25" customFormat="true" ht="41.4" hidden="false" customHeight="false" outlineLevel="0" collapsed="false">
      <c r="A1295" s="12" t="s">
        <v>2923</v>
      </c>
      <c r="B1295" s="26" t="s">
        <v>2924</v>
      </c>
      <c r="C1295" s="14" t="s">
        <v>243</v>
      </c>
      <c r="D1295" s="15" t="n">
        <v>12</v>
      </c>
      <c r="E1295" s="27" t="n">
        <f aca="false">F1295/2</f>
        <v>39679.5</v>
      </c>
      <c r="F1295" s="16" t="n">
        <f aca="false">75580*1.05</f>
        <v>79359</v>
      </c>
      <c r="G1295" s="15" t="s">
        <v>36</v>
      </c>
      <c r="H1295" s="17" t="s">
        <v>25</v>
      </c>
      <c r="I1295" s="18" t="s">
        <v>26</v>
      </c>
      <c r="J1295" s="15" t="n">
        <v>2018</v>
      </c>
      <c r="K1295" s="19" t="s">
        <v>27</v>
      </c>
      <c r="L1295" s="15" t="s">
        <v>28</v>
      </c>
      <c r="M1295" s="15" t="s">
        <v>33</v>
      </c>
      <c r="N1295" s="17" t="s">
        <v>637</v>
      </c>
      <c r="O1295" s="15"/>
      <c r="P1295" s="15"/>
      <c r="Q1295" s="21" t="s">
        <v>78</v>
      </c>
      <c r="R1295" s="21"/>
      <c r="S1295" s="21"/>
      <c r="T1295" s="28"/>
      <c r="U1295" s="24"/>
    </row>
    <row r="1296" s="25" customFormat="true" ht="41.4" hidden="false" customHeight="false" outlineLevel="0" collapsed="false">
      <c r="A1296" s="12" t="s">
        <v>2925</v>
      </c>
      <c r="B1296" s="26" t="s">
        <v>2926</v>
      </c>
      <c r="C1296" s="14" t="s">
        <v>2927</v>
      </c>
      <c r="D1296" s="15" t="n">
        <v>6</v>
      </c>
      <c r="E1296" s="27" t="n">
        <f aca="false">F1296/2</f>
        <v>6804</v>
      </c>
      <c r="F1296" s="16" t="n">
        <f aca="false">11340*1.2</f>
        <v>13608</v>
      </c>
      <c r="G1296" s="15" t="s">
        <v>36</v>
      </c>
      <c r="H1296" s="17" t="s">
        <v>25</v>
      </c>
      <c r="I1296" s="18" t="s">
        <v>26</v>
      </c>
      <c r="J1296" s="15" t="n">
        <v>2017</v>
      </c>
      <c r="K1296" s="19" t="s">
        <v>27</v>
      </c>
      <c r="L1296" s="15" t="s">
        <v>28</v>
      </c>
      <c r="M1296" s="15" t="s">
        <v>33</v>
      </c>
      <c r="N1296" s="17"/>
      <c r="O1296" s="15" t="s">
        <v>46</v>
      </c>
      <c r="P1296" s="15"/>
      <c r="Q1296" s="21"/>
      <c r="R1296" s="21"/>
      <c r="S1296" s="21"/>
      <c r="T1296" s="31" t="n">
        <v>45884</v>
      </c>
      <c r="U1296" s="24"/>
    </row>
    <row r="1297" s="25" customFormat="true" ht="41.4" hidden="false" customHeight="false" outlineLevel="0" collapsed="false">
      <c r="A1297" s="12" t="s">
        <v>2928</v>
      </c>
      <c r="B1297" s="26"/>
      <c r="C1297" s="14" t="s">
        <v>134</v>
      </c>
      <c r="D1297" s="15" t="n">
        <v>6</v>
      </c>
      <c r="E1297" s="27" t="n">
        <f aca="false">F1297/2</f>
        <v>5044</v>
      </c>
      <c r="F1297" s="16" t="n">
        <f aca="false">CEILING(9428*1.07,1)</f>
        <v>10088</v>
      </c>
      <c r="G1297" s="15" t="s">
        <v>36</v>
      </c>
      <c r="H1297" s="17" t="s">
        <v>25</v>
      </c>
      <c r="I1297" s="18" t="s">
        <v>26</v>
      </c>
      <c r="J1297" s="15" t="n">
        <v>2025</v>
      </c>
      <c r="K1297" s="19" t="s">
        <v>27</v>
      </c>
      <c r="L1297" s="15" t="s">
        <v>28</v>
      </c>
      <c r="M1297" s="15" t="s">
        <v>33</v>
      </c>
      <c r="N1297" s="17"/>
      <c r="O1297" s="15"/>
      <c r="P1297" s="15"/>
      <c r="Q1297" s="21"/>
      <c r="R1297" s="21"/>
      <c r="S1297" s="21"/>
      <c r="T1297" s="28"/>
      <c r="U1297" s="24"/>
    </row>
    <row r="1298" s="25" customFormat="true" ht="45.6" hidden="false" customHeight="false" outlineLevel="0" collapsed="false">
      <c r="A1298" s="12" t="s">
        <v>2929</v>
      </c>
      <c r="B1298" s="26" t="s">
        <v>2930</v>
      </c>
      <c r="C1298" s="14"/>
      <c r="D1298" s="15" t="n">
        <v>12</v>
      </c>
      <c r="E1298" s="27" t="n">
        <f aca="false">F1298/2</f>
        <v>1100</v>
      </c>
      <c r="F1298" s="16" t="n">
        <v>2200</v>
      </c>
      <c r="G1298" s="15" t="s">
        <v>354</v>
      </c>
      <c r="H1298" s="17" t="s">
        <v>25</v>
      </c>
      <c r="I1298" s="18" t="s">
        <v>26</v>
      </c>
      <c r="J1298" s="15" t="n">
        <v>2000</v>
      </c>
      <c r="K1298" s="19" t="s">
        <v>27</v>
      </c>
      <c r="L1298" s="15" t="s">
        <v>28</v>
      </c>
      <c r="M1298" s="15" t="s">
        <v>33</v>
      </c>
      <c r="N1298" s="17"/>
      <c r="O1298" s="15"/>
      <c r="P1298" s="15"/>
      <c r="Q1298" s="21" t="s">
        <v>47</v>
      </c>
      <c r="R1298" s="21"/>
      <c r="S1298" s="21"/>
      <c r="T1298" s="28"/>
      <c r="U1298" s="24" t="s">
        <v>2931</v>
      </c>
    </row>
    <row r="1299" s="25" customFormat="true" ht="45.6" hidden="false" customHeight="false" outlineLevel="0" collapsed="false">
      <c r="A1299" s="12" t="s">
        <v>2932</v>
      </c>
      <c r="B1299" s="26" t="s">
        <v>2933</v>
      </c>
      <c r="C1299" s="14" t="s">
        <v>2934</v>
      </c>
      <c r="D1299" s="15" t="n">
        <v>4</v>
      </c>
      <c r="E1299" s="27" t="n">
        <f aca="false">F1299/2</f>
        <v>2511</v>
      </c>
      <c r="F1299" s="16" t="n">
        <v>5022</v>
      </c>
      <c r="G1299" s="15" t="s">
        <v>354</v>
      </c>
      <c r="H1299" s="17" t="s">
        <v>25</v>
      </c>
      <c r="I1299" s="18" t="s">
        <v>26</v>
      </c>
      <c r="J1299" s="15" t="n">
        <v>2019</v>
      </c>
      <c r="K1299" s="19" t="s">
        <v>27</v>
      </c>
      <c r="L1299" s="15" t="s">
        <v>28</v>
      </c>
      <c r="M1299" s="15" t="s">
        <v>33</v>
      </c>
      <c r="N1299" s="17" t="s">
        <v>208</v>
      </c>
      <c r="O1299" s="15"/>
      <c r="P1299" s="15"/>
      <c r="Q1299" s="21" t="s">
        <v>47</v>
      </c>
      <c r="R1299" s="21"/>
      <c r="S1299" s="21"/>
      <c r="T1299" s="28"/>
      <c r="U1299" s="24" t="s">
        <v>2935</v>
      </c>
    </row>
    <row r="1300" s="25" customFormat="true" ht="27.6" hidden="false" customHeight="false" outlineLevel="0" collapsed="false">
      <c r="A1300" s="12" t="s">
        <v>2936</v>
      </c>
      <c r="B1300" s="26"/>
      <c r="C1300" s="14" t="s">
        <v>283</v>
      </c>
      <c r="D1300" s="15" t="n">
        <v>4</v>
      </c>
      <c r="E1300" s="27" t="n">
        <f aca="false">F1300/2</f>
        <v>3120</v>
      </c>
      <c r="F1300" s="16" t="n">
        <f aca="false">5200*1.2</f>
        <v>6240</v>
      </c>
      <c r="G1300" s="15" t="s">
        <v>36</v>
      </c>
      <c r="H1300" s="17" t="s">
        <v>2937</v>
      </c>
      <c r="I1300" s="18" t="s">
        <v>26</v>
      </c>
      <c r="J1300" s="15" t="n">
        <v>2023</v>
      </c>
      <c r="K1300" s="19" t="s">
        <v>27</v>
      </c>
      <c r="L1300" s="15" t="s">
        <v>28</v>
      </c>
      <c r="M1300" s="15" t="s">
        <v>33</v>
      </c>
      <c r="N1300" s="17" t="s">
        <v>123</v>
      </c>
      <c r="O1300" s="15"/>
      <c r="P1300" s="15"/>
      <c r="Q1300" s="21"/>
      <c r="R1300" s="21"/>
      <c r="S1300" s="21"/>
      <c r="T1300" s="28"/>
      <c r="U1300" s="24" t="s">
        <v>284</v>
      </c>
    </row>
    <row r="1301" s="25" customFormat="true" ht="41.4" hidden="false" customHeight="false" outlineLevel="0" collapsed="false">
      <c r="A1301" s="12" t="s">
        <v>2938</v>
      </c>
      <c r="B1301" s="26" t="s">
        <v>2939</v>
      </c>
      <c r="C1301" s="14" t="s">
        <v>1776</v>
      </c>
      <c r="D1301" s="15" t="n">
        <v>12</v>
      </c>
      <c r="E1301" s="27" t="n">
        <f aca="false">F1301/2</f>
        <v>38160</v>
      </c>
      <c r="F1301" s="16" t="n">
        <f aca="false">CEILING(63600*1.2,1)</f>
        <v>76320</v>
      </c>
      <c r="G1301" s="15" t="s">
        <v>36</v>
      </c>
      <c r="H1301" s="17" t="s">
        <v>25</v>
      </c>
      <c r="I1301" s="18" t="s">
        <v>26</v>
      </c>
      <c r="J1301" s="15" t="n">
        <v>2021</v>
      </c>
      <c r="K1301" s="19" t="s">
        <v>27</v>
      </c>
      <c r="L1301" s="15" t="s">
        <v>28</v>
      </c>
      <c r="M1301" s="15" t="s">
        <v>33</v>
      </c>
      <c r="N1301" s="17" t="s">
        <v>123</v>
      </c>
      <c r="O1301" s="15"/>
      <c r="P1301" s="15"/>
      <c r="Q1301" s="21"/>
      <c r="R1301" s="21"/>
      <c r="S1301" s="21"/>
      <c r="T1301" s="31" t="n">
        <v>45919</v>
      </c>
      <c r="U1301" s="34"/>
    </row>
    <row r="1302" s="25" customFormat="true" ht="41.4" hidden="false" customHeight="false" outlineLevel="0" collapsed="false">
      <c r="A1302" s="29" t="s">
        <v>2940</v>
      </c>
      <c r="B1302" s="30"/>
      <c r="C1302" s="14" t="s">
        <v>2941</v>
      </c>
      <c r="D1302" s="15" t="n">
        <v>52</v>
      </c>
      <c r="E1302" s="16" t="n">
        <f aca="false">F1302/2</f>
        <v>3744</v>
      </c>
      <c r="F1302" s="16" t="n">
        <f aca="false">6240*1.2</f>
        <v>7488</v>
      </c>
      <c r="G1302" s="15" t="s">
        <v>36</v>
      </c>
      <c r="H1302" s="17" t="s">
        <v>25</v>
      </c>
      <c r="I1302" s="18" t="s">
        <v>26</v>
      </c>
      <c r="J1302" s="15" t="n">
        <v>2025</v>
      </c>
      <c r="K1302" s="19" t="s">
        <v>27</v>
      </c>
      <c r="L1302" s="15" t="s">
        <v>103</v>
      </c>
      <c r="M1302" s="15" t="s">
        <v>33</v>
      </c>
      <c r="N1302" s="17" t="s">
        <v>343</v>
      </c>
      <c r="O1302" s="15"/>
      <c r="P1302" s="15"/>
      <c r="Q1302" s="21"/>
      <c r="R1302" s="21"/>
      <c r="S1302" s="40"/>
      <c r="T1302" s="69"/>
      <c r="U1302" s="24"/>
    </row>
    <row r="1303" s="25" customFormat="true" ht="41.4" hidden="false" customHeight="false" outlineLevel="0" collapsed="false">
      <c r="A1303" s="12" t="s">
        <v>2942</v>
      </c>
      <c r="B1303" s="26"/>
      <c r="C1303" s="14" t="s">
        <v>122</v>
      </c>
      <c r="D1303" s="15" t="n">
        <v>12</v>
      </c>
      <c r="E1303" s="27" t="n">
        <v>23628</v>
      </c>
      <c r="F1303" s="16" t="n">
        <v>39204</v>
      </c>
      <c r="G1303" s="15" t="s">
        <v>36</v>
      </c>
      <c r="H1303" s="17" t="s">
        <v>25</v>
      </c>
      <c r="I1303" s="18" t="s">
        <v>26</v>
      </c>
      <c r="J1303" s="15" t="n">
        <v>2025</v>
      </c>
      <c r="K1303" s="19" t="s">
        <v>27</v>
      </c>
      <c r="L1303" s="15" t="s">
        <v>28</v>
      </c>
      <c r="M1303" s="15" t="s">
        <v>33</v>
      </c>
      <c r="N1303" s="17" t="s">
        <v>270</v>
      </c>
      <c r="O1303" s="15"/>
      <c r="P1303" s="15"/>
      <c r="Q1303" s="21"/>
      <c r="R1303" s="21"/>
      <c r="S1303" s="21"/>
      <c r="T1303" s="28"/>
      <c r="U1303" s="24"/>
    </row>
    <row r="1304" s="25" customFormat="true" ht="41.4" hidden="false" customHeight="false" outlineLevel="0" collapsed="false">
      <c r="A1304" s="80" t="s">
        <v>2943</v>
      </c>
      <c r="B1304" s="26" t="s">
        <v>2944</v>
      </c>
      <c r="C1304" s="14" t="s">
        <v>264</v>
      </c>
      <c r="D1304" s="30" t="n">
        <v>12</v>
      </c>
      <c r="E1304" s="16" t="n">
        <f aca="false">F1304/2</f>
        <v>51525.72</v>
      </c>
      <c r="F1304" s="16" t="n">
        <f aca="false">110808*0.93</f>
        <v>103051.44</v>
      </c>
      <c r="G1304" s="15" t="s">
        <v>36</v>
      </c>
      <c r="H1304" s="17" t="s">
        <v>25</v>
      </c>
      <c r="I1304" s="18" t="s">
        <v>26</v>
      </c>
      <c r="J1304" s="15" t="n">
        <v>2024</v>
      </c>
      <c r="K1304" s="19" t="s">
        <v>27</v>
      </c>
      <c r="L1304" s="15" t="s">
        <v>28</v>
      </c>
      <c r="M1304" s="15" t="s">
        <v>33</v>
      </c>
      <c r="N1304" s="17" t="s">
        <v>270</v>
      </c>
      <c r="O1304" s="60"/>
      <c r="P1304" s="60"/>
      <c r="Q1304" s="21"/>
      <c r="R1304" s="21"/>
      <c r="S1304" s="40"/>
      <c r="T1304" s="31" t="n">
        <v>45880</v>
      </c>
      <c r="U1304" s="41"/>
    </row>
    <row r="1305" s="25" customFormat="true" ht="41.4" hidden="false" customHeight="false" outlineLevel="0" collapsed="false">
      <c r="A1305" s="12" t="s">
        <v>2945</v>
      </c>
      <c r="B1305" s="26" t="s">
        <v>2946</v>
      </c>
      <c r="C1305" s="14" t="s">
        <v>246</v>
      </c>
      <c r="D1305" s="15" t="n">
        <v>4</v>
      </c>
      <c r="E1305" s="27" t="n">
        <f aca="false">F1305/2</f>
        <v>6927</v>
      </c>
      <c r="F1305" s="38" t="n">
        <v>13854</v>
      </c>
      <c r="G1305" s="15" t="s">
        <v>36</v>
      </c>
      <c r="H1305" s="17" t="s">
        <v>25</v>
      </c>
      <c r="I1305" s="18" t="s">
        <v>26</v>
      </c>
      <c r="J1305" s="15" t="n">
        <v>2017</v>
      </c>
      <c r="K1305" s="19" t="s">
        <v>27</v>
      </c>
      <c r="L1305" s="15" t="s">
        <v>28</v>
      </c>
      <c r="M1305" s="15" t="s">
        <v>33</v>
      </c>
      <c r="N1305" s="20"/>
      <c r="O1305" s="15"/>
      <c r="P1305" s="15"/>
      <c r="Q1305" s="21" t="s">
        <v>247</v>
      </c>
      <c r="R1305" s="21"/>
      <c r="S1305" s="21"/>
      <c r="T1305" s="31" t="n">
        <v>45882</v>
      </c>
      <c r="U1305" s="24" t="s">
        <v>248</v>
      </c>
    </row>
    <row r="1306" s="25" customFormat="true" ht="41.4" hidden="false" customHeight="false" outlineLevel="0" collapsed="false">
      <c r="A1306" s="12" t="s">
        <v>2947</v>
      </c>
      <c r="B1306" s="26" t="s">
        <v>2948</v>
      </c>
      <c r="C1306" s="14" t="s">
        <v>589</v>
      </c>
      <c r="D1306" s="15" t="n">
        <v>4</v>
      </c>
      <c r="E1306" s="27" t="n">
        <f aca="false">F1306/2</f>
        <v>50</v>
      </c>
      <c r="F1306" s="16" t="n">
        <v>100</v>
      </c>
      <c r="G1306" s="15" t="s">
        <v>36</v>
      </c>
      <c r="H1306" s="17" t="s">
        <v>25</v>
      </c>
      <c r="I1306" s="18" t="s">
        <v>26</v>
      </c>
      <c r="J1306" s="15" t="n">
        <v>2017</v>
      </c>
      <c r="K1306" s="19" t="s">
        <v>27</v>
      </c>
      <c r="L1306" s="15" t="s">
        <v>28</v>
      </c>
      <c r="M1306" s="15" t="s">
        <v>33</v>
      </c>
      <c r="N1306" s="20"/>
      <c r="O1306" s="15"/>
      <c r="P1306" s="15"/>
      <c r="Q1306" s="21"/>
      <c r="R1306" s="21"/>
      <c r="S1306" s="21"/>
      <c r="T1306" s="28"/>
      <c r="U1306" s="34"/>
    </row>
    <row r="1307" s="25" customFormat="true" ht="41.4" hidden="false" customHeight="false" outlineLevel="0" collapsed="false">
      <c r="A1307" s="12" t="s">
        <v>2949</v>
      </c>
      <c r="B1307" s="26" t="s">
        <v>2950</v>
      </c>
      <c r="C1307" s="14" t="s">
        <v>589</v>
      </c>
      <c r="D1307" s="15" t="n">
        <v>5</v>
      </c>
      <c r="E1307" s="27" t="n">
        <f aca="false">F1307/2</f>
        <v>2400</v>
      </c>
      <c r="F1307" s="16" t="n">
        <v>4800</v>
      </c>
      <c r="G1307" s="15" t="s">
        <v>36</v>
      </c>
      <c r="H1307" s="17" t="s">
        <v>25</v>
      </c>
      <c r="I1307" s="18" t="s">
        <v>26</v>
      </c>
      <c r="J1307" s="15" t="n">
        <v>2020</v>
      </c>
      <c r="K1307" s="19" t="s">
        <v>27</v>
      </c>
      <c r="L1307" s="15" t="s">
        <v>28</v>
      </c>
      <c r="M1307" s="15" t="s">
        <v>33</v>
      </c>
      <c r="N1307" s="20"/>
      <c r="O1307" s="15"/>
      <c r="P1307" s="15"/>
      <c r="Q1307" s="21"/>
      <c r="R1307" s="21"/>
      <c r="S1307" s="21"/>
      <c r="T1307" s="28"/>
      <c r="U1307" s="34"/>
    </row>
    <row r="1308" s="25" customFormat="true" ht="41.4" hidden="false" customHeight="false" outlineLevel="0" collapsed="false">
      <c r="A1308" s="12" t="s">
        <v>2951</v>
      </c>
      <c r="B1308" s="26" t="s">
        <v>2952</v>
      </c>
      <c r="C1308" s="14" t="s">
        <v>561</v>
      </c>
      <c r="D1308" s="15" t="n">
        <v>8</v>
      </c>
      <c r="E1308" s="27" t="n">
        <f aca="false">F1308/2</f>
        <v>2592</v>
      </c>
      <c r="F1308" s="16" t="n">
        <f aca="false">4320*1.2</f>
        <v>5184</v>
      </c>
      <c r="G1308" s="15" t="s">
        <v>36</v>
      </c>
      <c r="H1308" s="17" t="s">
        <v>25</v>
      </c>
      <c r="I1308" s="18" t="s">
        <v>26</v>
      </c>
      <c r="J1308" s="15" t="n">
        <v>2021</v>
      </c>
      <c r="K1308" s="19" t="s">
        <v>27</v>
      </c>
      <c r="L1308" s="15" t="s">
        <v>28</v>
      </c>
      <c r="M1308" s="15" t="s">
        <v>33</v>
      </c>
      <c r="N1308" s="20" t="s">
        <v>83</v>
      </c>
      <c r="O1308" s="15"/>
      <c r="P1308" s="15"/>
      <c r="Q1308" s="21"/>
      <c r="R1308" s="21"/>
      <c r="S1308" s="21"/>
      <c r="T1308" s="28"/>
      <c r="U1308" s="34"/>
      <c r="V1308" s="37"/>
      <c r="W1308" s="37"/>
    </row>
    <row r="1309" s="25" customFormat="true" ht="41.4" hidden="false" customHeight="false" outlineLevel="0" collapsed="false">
      <c r="A1309" s="36" t="s">
        <v>2953</v>
      </c>
      <c r="B1309" s="26"/>
      <c r="C1309" s="14" t="s">
        <v>864</v>
      </c>
      <c r="D1309" s="15" t="n">
        <v>4</v>
      </c>
      <c r="E1309" s="27" t="n">
        <f aca="false">F1309/2</f>
        <v>50</v>
      </c>
      <c r="F1309" s="16" t="n">
        <v>100</v>
      </c>
      <c r="G1309" s="15" t="s">
        <v>36</v>
      </c>
      <c r="H1309" s="17" t="s">
        <v>25</v>
      </c>
      <c r="I1309" s="18" t="s">
        <v>26</v>
      </c>
      <c r="J1309" s="15" t="n">
        <v>2023</v>
      </c>
      <c r="K1309" s="19" t="s">
        <v>553</v>
      </c>
      <c r="L1309" s="15" t="s">
        <v>28</v>
      </c>
      <c r="M1309" s="15" t="s">
        <v>33</v>
      </c>
      <c r="N1309" s="17" t="s">
        <v>175</v>
      </c>
      <c r="O1309" s="15"/>
      <c r="P1309" s="15"/>
      <c r="Q1309" s="21"/>
      <c r="R1309" s="21"/>
      <c r="S1309" s="21"/>
      <c r="T1309" s="28"/>
      <c r="U1309" s="24"/>
    </row>
    <row r="1310" s="25" customFormat="true" ht="41.4" hidden="false" customHeight="false" outlineLevel="0" collapsed="false">
      <c r="A1310" s="36" t="s">
        <v>2954</v>
      </c>
      <c r="B1310" s="26"/>
      <c r="C1310" s="14" t="s">
        <v>2955</v>
      </c>
      <c r="D1310" s="15" t="n">
        <v>12</v>
      </c>
      <c r="E1310" s="16" t="n">
        <f aca="false">F1310/2</f>
        <v>2808</v>
      </c>
      <c r="F1310" s="16" t="n">
        <f aca="false">4680*1.2</f>
        <v>5616</v>
      </c>
      <c r="G1310" s="15" t="s">
        <v>36</v>
      </c>
      <c r="H1310" s="17" t="s">
        <v>25</v>
      </c>
      <c r="I1310" s="18" t="s">
        <v>26</v>
      </c>
      <c r="J1310" s="15" t="n">
        <v>2024</v>
      </c>
      <c r="K1310" s="19" t="s">
        <v>2956</v>
      </c>
      <c r="L1310" s="15" t="s">
        <v>28</v>
      </c>
      <c r="M1310" s="15" t="s">
        <v>33</v>
      </c>
      <c r="N1310" s="20" t="s">
        <v>270</v>
      </c>
      <c r="O1310" s="15"/>
      <c r="P1310" s="15"/>
      <c r="Q1310" s="21"/>
      <c r="R1310" s="21"/>
      <c r="S1310" s="21"/>
      <c r="T1310" s="28"/>
      <c r="U1310" s="24"/>
    </row>
    <row r="1311" s="25" customFormat="true" ht="41.4" hidden="false" customHeight="false" outlineLevel="0" collapsed="false">
      <c r="A1311" s="36" t="s">
        <v>2957</v>
      </c>
      <c r="B1311" s="26" t="s">
        <v>2958</v>
      </c>
      <c r="C1311" s="14" t="s">
        <v>86</v>
      </c>
      <c r="D1311" s="15" t="n">
        <v>4</v>
      </c>
      <c r="E1311" s="27" t="n">
        <f aca="false">F1311/2</f>
        <v>4462</v>
      </c>
      <c r="F1311" s="32" t="n">
        <v>8924</v>
      </c>
      <c r="G1311" s="15" t="s">
        <v>24</v>
      </c>
      <c r="H1311" s="17" t="s">
        <v>25</v>
      </c>
      <c r="I1311" s="18" t="s">
        <v>26</v>
      </c>
      <c r="J1311" s="15" t="n">
        <v>2006</v>
      </c>
      <c r="K1311" s="19" t="s">
        <v>59</v>
      </c>
      <c r="L1311" s="15" t="s">
        <v>28</v>
      </c>
      <c r="M1311" s="15" t="s">
        <v>33</v>
      </c>
      <c r="N1311" s="17" t="s">
        <v>671</v>
      </c>
      <c r="O1311" s="15"/>
      <c r="P1311" s="15"/>
      <c r="Q1311" s="21" t="s">
        <v>253</v>
      </c>
      <c r="R1311" s="21"/>
      <c r="S1311" s="21"/>
      <c r="T1311" s="31" t="n">
        <v>45882</v>
      </c>
      <c r="U1311" s="24" t="s">
        <v>2959</v>
      </c>
    </row>
    <row r="1312" s="25" customFormat="true" ht="41.4" hidden="false" customHeight="false" outlineLevel="0" collapsed="false">
      <c r="A1312" s="36" t="s">
        <v>2960</v>
      </c>
      <c r="B1312" s="26"/>
      <c r="C1312" s="14"/>
      <c r="D1312" s="15" t="n">
        <v>4</v>
      </c>
      <c r="E1312" s="16" t="n">
        <f aca="false">F1312/2</f>
        <v>3124</v>
      </c>
      <c r="F1312" s="16" t="n">
        <v>6248</v>
      </c>
      <c r="G1312" s="15" t="s">
        <v>36</v>
      </c>
      <c r="H1312" s="17" t="s">
        <v>25</v>
      </c>
      <c r="I1312" s="18" t="s">
        <v>26</v>
      </c>
      <c r="J1312" s="15" t="n">
        <v>2025</v>
      </c>
      <c r="K1312" s="19" t="s">
        <v>27</v>
      </c>
      <c r="L1312" s="15" t="s">
        <v>28</v>
      </c>
      <c r="M1312" s="15" t="s">
        <v>33</v>
      </c>
      <c r="N1312" s="17"/>
      <c r="O1312" s="15"/>
      <c r="P1312" s="15"/>
      <c r="Q1312" s="21"/>
      <c r="R1312" s="21"/>
      <c r="S1312" s="21"/>
      <c r="T1312" s="28"/>
      <c r="U1312" s="24"/>
    </row>
    <row r="1313" s="25" customFormat="true" ht="41.4" hidden="false" customHeight="false" outlineLevel="0" collapsed="false">
      <c r="A1313" s="36" t="s">
        <v>2961</v>
      </c>
      <c r="B1313" s="26"/>
      <c r="C1313" s="14" t="s">
        <v>86</v>
      </c>
      <c r="D1313" s="15" t="n">
        <v>6</v>
      </c>
      <c r="E1313" s="16" t="n">
        <f aca="false">F1313/2</f>
        <v>50</v>
      </c>
      <c r="F1313" s="16" t="n">
        <v>100</v>
      </c>
      <c r="G1313" s="15" t="s">
        <v>36</v>
      </c>
      <c r="H1313" s="17" t="s">
        <v>25</v>
      </c>
      <c r="I1313" s="18" t="s">
        <v>26</v>
      </c>
      <c r="J1313" s="15" t="n">
        <v>2025</v>
      </c>
      <c r="K1313" s="19" t="s">
        <v>59</v>
      </c>
      <c r="L1313" s="15" t="s">
        <v>28</v>
      </c>
      <c r="M1313" s="15" t="s">
        <v>33</v>
      </c>
      <c r="N1313" s="17"/>
      <c r="O1313" s="15"/>
      <c r="P1313" s="15"/>
      <c r="Q1313" s="21"/>
      <c r="R1313" s="21"/>
      <c r="S1313" s="21"/>
      <c r="T1313" s="31" t="n">
        <v>45882</v>
      </c>
      <c r="U1313" s="24"/>
    </row>
    <row r="1314" s="25" customFormat="true" ht="41.4" hidden="false" customHeight="false" outlineLevel="0" collapsed="false">
      <c r="A1314" s="36" t="s">
        <v>2962</v>
      </c>
      <c r="B1314" s="26"/>
      <c r="C1314" s="14"/>
      <c r="D1314" s="15" t="n">
        <v>6</v>
      </c>
      <c r="E1314" s="16" t="n">
        <f aca="false">F1314/2</f>
        <v>5000</v>
      </c>
      <c r="F1314" s="16" t="n">
        <v>10000</v>
      </c>
      <c r="G1314" s="15" t="s">
        <v>36</v>
      </c>
      <c r="H1314" s="17" t="s">
        <v>25</v>
      </c>
      <c r="I1314" s="18" t="s">
        <v>26</v>
      </c>
      <c r="J1314" s="15" t="n">
        <v>2025</v>
      </c>
      <c r="K1314" s="19" t="s">
        <v>27</v>
      </c>
      <c r="L1314" s="15" t="s">
        <v>28</v>
      </c>
      <c r="M1314" s="15" t="s">
        <v>33</v>
      </c>
      <c r="N1314" s="17"/>
      <c r="O1314" s="15"/>
      <c r="P1314" s="15"/>
      <c r="Q1314" s="21"/>
      <c r="R1314" s="21"/>
      <c r="S1314" s="21"/>
      <c r="T1314" s="28"/>
      <c r="U1314" s="24"/>
    </row>
    <row r="1315" s="25" customFormat="true" ht="41.4" hidden="false" customHeight="false" outlineLevel="0" collapsed="false">
      <c r="A1315" s="36" t="s">
        <v>2963</v>
      </c>
      <c r="B1315" s="26"/>
      <c r="C1315" s="14" t="s">
        <v>864</v>
      </c>
      <c r="D1315" s="15" t="n">
        <v>4</v>
      </c>
      <c r="E1315" s="27" t="n">
        <f aca="false">F1315/2</f>
        <v>50</v>
      </c>
      <c r="F1315" s="16" t="n">
        <v>100</v>
      </c>
      <c r="G1315" s="15" t="s">
        <v>36</v>
      </c>
      <c r="H1315" s="17" t="s">
        <v>25</v>
      </c>
      <c r="I1315" s="18" t="s">
        <v>26</v>
      </c>
      <c r="J1315" s="15" t="n">
        <v>2023</v>
      </c>
      <c r="K1315" s="19" t="s">
        <v>553</v>
      </c>
      <c r="L1315" s="15" t="s">
        <v>28</v>
      </c>
      <c r="M1315" s="15" t="s">
        <v>33</v>
      </c>
      <c r="N1315" s="17" t="s">
        <v>167</v>
      </c>
      <c r="O1315" s="15" t="s">
        <v>203</v>
      </c>
      <c r="P1315" s="15"/>
      <c r="Q1315" s="21"/>
      <c r="R1315" s="21"/>
      <c r="S1315" s="21"/>
      <c r="T1315" s="28"/>
      <c r="U1315" s="24"/>
    </row>
    <row r="1316" s="25" customFormat="true" ht="41.4" hidden="false" customHeight="false" outlineLevel="0" collapsed="false">
      <c r="A1316" s="36" t="s">
        <v>2964</v>
      </c>
      <c r="B1316" s="26" t="s">
        <v>2965</v>
      </c>
      <c r="C1316" s="70" t="s">
        <v>86</v>
      </c>
      <c r="D1316" s="15" t="n">
        <v>6</v>
      </c>
      <c r="E1316" s="27" t="n">
        <f aca="false">F1316/2</f>
        <v>8658</v>
      </c>
      <c r="F1316" s="32" t="n">
        <v>17316</v>
      </c>
      <c r="G1316" s="15" t="s">
        <v>24</v>
      </c>
      <c r="H1316" s="17" t="s">
        <v>25</v>
      </c>
      <c r="I1316" s="18" t="s">
        <v>26</v>
      </c>
      <c r="J1316" s="15" t="n">
        <v>2014</v>
      </c>
      <c r="K1316" s="19" t="s">
        <v>59</v>
      </c>
      <c r="L1316" s="15" t="s">
        <v>28</v>
      </c>
      <c r="M1316" s="15" t="s">
        <v>33</v>
      </c>
      <c r="N1316" s="17" t="s">
        <v>809</v>
      </c>
      <c r="O1316" s="15"/>
      <c r="P1316" s="15"/>
      <c r="Q1316" s="21" t="s">
        <v>577</v>
      </c>
      <c r="R1316" s="21"/>
      <c r="S1316" s="21"/>
      <c r="T1316" s="31" t="n">
        <v>45882</v>
      </c>
      <c r="U1316" s="24" t="s">
        <v>2966</v>
      </c>
    </row>
    <row r="1317" s="25" customFormat="true" ht="41.4" hidden="false" customHeight="false" outlineLevel="0" collapsed="false">
      <c r="A1317" s="36" t="s">
        <v>2967</v>
      </c>
      <c r="B1317" s="26"/>
      <c r="C1317" s="70" t="s">
        <v>107</v>
      </c>
      <c r="D1317" s="15" t="n">
        <v>6</v>
      </c>
      <c r="E1317" s="27" t="n">
        <f aca="false">F1317/2</f>
        <v>1286</v>
      </c>
      <c r="F1317" s="16" t="n">
        <v>2572</v>
      </c>
      <c r="G1317" s="15" t="s">
        <v>36</v>
      </c>
      <c r="H1317" s="17" t="s">
        <v>25</v>
      </c>
      <c r="I1317" s="18" t="s">
        <v>26</v>
      </c>
      <c r="J1317" s="15" t="n">
        <v>2025</v>
      </c>
      <c r="K1317" s="19" t="s">
        <v>108</v>
      </c>
      <c r="L1317" s="15" t="s">
        <v>28</v>
      </c>
      <c r="M1317" s="15" t="s">
        <v>33</v>
      </c>
      <c r="N1317" s="17"/>
      <c r="O1317" s="15"/>
      <c r="P1317" s="15"/>
      <c r="Q1317" s="21"/>
      <c r="R1317" s="21"/>
      <c r="S1317" s="21"/>
      <c r="T1317" s="31" t="n">
        <v>45884</v>
      </c>
      <c r="U1317" s="24"/>
    </row>
    <row r="1318" s="25" customFormat="true" ht="41.4" hidden="false" customHeight="false" outlineLevel="0" collapsed="false">
      <c r="A1318" s="36" t="s">
        <v>2968</v>
      </c>
      <c r="B1318" s="26" t="s">
        <v>2969</v>
      </c>
      <c r="C1318" s="70"/>
      <c r="D1318" s="15" t="n">
        <v>6</v>
      </c>
      <c r="E1318" s="27" t="n">
        <f aca="false">F1318/2</f>
        <v>360</v>
      </c>
      <c r="F1318" s="16" t="n">
        <v>720</v>
      </c>
      <c r="G1318" s="15" t="s">
        <v>36</v>
      </c>
      <c r="H1318" s="17" t="s">
        <v>25</v>
      </c>
      <c r="I1318" s="18" t="s">
        <v>26</v>
      </c>
      <c r="J1318" s="15" t="n">
        <v>2017</v>
      </c>
      <c r="K1318" s="19" t="s">
        <v>27</v>
      </c>
      <c r="L1318" s="15" t="s">
        <v>28</v>
      </c>
      <c r="M1318" s="15" t="s">
        <v>33</v>
      </c>
      <c r="N1318" s="17"/>
      <c r="O1318" s="15"/>
      <c r="P1318" s="15"/>
      <c r="Q1318" s="21"/>
      <c r="R1318" s="21"/>
      <c r="S1318" s="21"/>
      <c r="T1318" s="28"/>
      <c r="U1318" s="24"/>
    </row>
    <row r="1319" s="25" customFormat="true" ht="41.4" hidden="false" customHeight="false" outlineLevel="0" collapsed="false">
      <c r="A1319" s="36" t="s">
        <v>2970</v>
      </c>
      <c r="B1319" s="26"/>
      <c r="C1319" s="70" t="s">
        <v>2971</v>
      </c>
      <c r="D1319" s="15" t="n">
        <v>51</v>
      </c>
      <c r="E1319" s="27" t="n">
        <f aca="false">F1319/2</f>
        <v>84240</v>
      </c>
      <c r="F1319" s="16" t="n">
        <f aca="false">140400*1.2</f>
        <v>168480</v>
      </c>
      <c r="G1319" s="15" t="s">
        <v>36</v>
      </c>
      <c r="H1319" s="17" t="s">
        <v>25</v>
      </c>
      <c r="I1319" s="18" t="s">
        <v>26</v>
      </c>
      <c r="J1319" s="15" t="n">
        <v>2024</v>
      </c>
      <c r="K1319" s="19" t="s">
        <v>52</v>
      </c>
      <c r="L1319" s="15" t="s">
        <v>28</v>
      </c>
      <c r="M1319" s="15" t="s">
        <v>33</v>
      </c>
      <c r="N1319" s="17"/>
      <c r="O1319" s="15"/>
      <c r="P1319" s="15"/>
      <c r="Q1319" s="21"/>
      <c r="R1319" s="21"/>
      <c r="S1319" s="21"/>
      <c r="T1319" s="28"/>
      <c r="U1319" s="24"/>
    </row>
    <row r="1320" s="25" customFormat="true" ht="41.4" hidden="false" customHeight="false" outlineLevel="0" collapsed="false">
      <c r="A1320" s="36" t="s">
        <v>2972</v>
      </c>
      <c r="B1320" s="26"/>
      <c r="C1320" s="70" t="s">
        <v>864</v>
      </c>
      <c r="D1320" s="15" t="n">
        <v>2</v>
      </c>
      <c r="E1320" s="16" t="n">
        <f aca="false">F1320/2</f>
        <v>50</v>
      </c>
      <c r="F1320" s="16" t="n">
        <v>100</v>
      </c>
      <c r="G1320" s="15" t="s">
        <v>36</v>
      </c>
      <c r="H1320" s="17" t="s">
        <v>25</v>
      </c>
      <c r="I1320" s="18" t="s">
        <v>26</v>
      </c>
      <c r="J1320" s="15" t="n">
        <v>2025</v>
      </c>
      <c r="K1320" s="19" t="s">
        <v>553</v>
      </c>
      <c r="L1320" s="15" t="s">
        <v>28</v>
      </c>
      <c r="M1320" s="15" t="s">
        <v>33</v>
      </c>
      <c r="N1320" s="17"/>
      <c r="O1320" s="15"/>
      <c r="P1320" s="15"/>
      <c r="Q1320" s="21"/>
      <c r="R1320" s="21"/>
      <c r="S1320" s="21"/>
      <c r="T1320" s="28"/>
      <c r="U1320" s="24"/>
    </row>
    <row r="1321" s="25" customFormat="true" ht="41.4" hidden="false" customHeight="false" outlineLevel="0" collapsed="false">
      <c r="A1321" s="36" t="s">
        <v>2973</v>
      </c>
      <c r="B1321" s="26" t="s">
        <v>2974</v>
      </c>
      <c r="C1321" s="70" t="s">
        <v>501</v>
      </c>
      <c r="D1321" s="15" t="n">
        <v>12</v>
      </c>
      <c r="E1321" s="27" t="n">
        <v>1500</v>
      </c>
      <c r="F1321" s="16" t="n">
        <v>3000</v>
      </c>
      <c r="G1321" s="15" t="s">
        <v>36</v>
      </c>
      <c r="H1321" s="17" t="s">
        <v>25</v>
      </c>
      <c r="I1321" s="18" t="s">
        <v>26</v>
      </c>
      <c r="J1321" s="15" t="n">
        <v>2014</v>
      </c>
      <c r="K1321" s="19" t="s">
        <v>27</v>
      </c>
      <c r="L1321" s="15" t="s">
        <v>28</v>
      </c>
      <c r="M1321" s="15" t="s">
        <v>33</v>
      </c>
      <c r="N1321" s="17" t="s">
        <v>96</v>
      </c>
      <c r="O1321" s="15"/>
      <c r="P1321" s="15"/>
      <c r="Q1321" s="21" t="s">
        <v>97</v>
      </c>
      <c r="R1321" s="21"/>
      <c r="S1321" s="21"/>
      <c r="T1321" s="28"/>
      <c r="U1321" s="24"/>
    </row>
    <row r="1322" s="25" customFormat="true" ht="41.4" hidden="false" customHeight="false" outlineLevel="0" collapsed="false">
      <c r="A1322" s="36" t="s">
        <v>2975</v>
      </c>
      <c r="B1322" s="26"/>
      <c r="C1322" s="70" t="s">
        <v>1992</v>
      </c>
      <c r="D1322" s="15" t="n">
        <v>4</v>
      </c>
      <c r="E1322" s="16" t="n">
        <f aca="false">F1322/2</f>
        <v>50</v>
      </c>
      <c r="F1322" s="16" t="n">
        <v>100</v>
      </c>
      <c r="G1322" s="15" t="s">
        <v>36</v>
      </c>
      <c r="H1322" s="17" t="s">
        <v>25</v>
      </c>
      <c r="I1322" s="18" t="s">
        <v>26</v>
      </c>
      <c r="J1322" s="15" t="n">
        <v>2025</v>
      </c>
      <c r="K1322" s="19" t="s">
        <v>1325</v>
      </c>
      <c r="L1322" s="15" t="s">
        <v>28</v>
      </c>
      <c r="M1322" s="15" t="s">
        <v>33</v>
      </c>
      <c r="N1322" s="17"/>
      <c r="O1322" s="15"/>
      <c r="P1322" s="15"/>
      <c r="Q1322" s="21"/>
      <c r="R1322" s="21"/>
      <c r="S1322" s="21" t="s">
        <v>113</v>
      </c>
      <c r="T1322" s="31" t="n">
        <v>45855</v>
      </c>
      <c r="U1322" s="24"/>
    </row>
    <row r="1323" s="25" customFormat="true" ht="41.4" hidden="false" customHeight="false" outlineLevel="0" collapsed="false">
      <c r="A1323" s="36" t="s">
        <v>2976</v>
      </c>
      <c r="B1323" s="26" t="s">
        <v>2977</v>
      </c>
      <c r="C1323" s="14" t="s">
        <v>122</v>
      </c>
      <c r="D1323" s="15" t="n">
        <v>6</v>
      </c>
      <c r="E1323" s="27" t="n">
        <v>11814</v>
      </c>
      <c r="F1323" s="16" t="n">
        <v>23628</v>
      </c>
      <c r="G1323" s="15" t="s">
        <v>36</v>
      </c>
      <c r="H1323" s="17" t="s">
        <v>25</v>
      </c>
      <c r="I1323" s="18" t="s">
        <v>26</v>
      </c>
      <c r="J1323" s="15" t="n">
        <v>2017</v>
      </c>
      <c r="K1323" s="19" t="s">
        <v>27</v>
      </c>
      <c r="L1323" s="15" t="s">
        <v>28</v>
      </c>
      <c r="M1323" s="15" t="s">
        <v>33</v>
      </c>
      <c r="N1323" s="17" t="s">
        <v>96</v>
      </c>
      <c r="O1323" s="15"/>
      <c r="P1323" s="15"/>
      <c r="Q1323" s="21"/>
      <c r="R1323" s="21"/>
      <c r="S1323" s="21"/>
      <c r="T1323" s="28"/>
      <c r="U1323" s="24"/>
    </row>
    <row r="1324" s="25" customFormat="true" ht="41.4" hidden="false" customHeight="false" outlineLevel="0" collapsed="false">
      <c r="A1324" s="36" t="s">
        <v>2978</v>
      </c>
      <c r="B1324" s="26" t="s">
        <v>2979</v>
      </c>
      <c r="C1324" s="70" t="s">
        <v>335</v>
      </c>
      <c r="D1324" s="15" t="n">
        <v>4</v>
      </c>
      <c r="E1324" s="27" t="n">
        <f aca="false">F1324/2</f>
        <v>7200</v>
      </c>
      <c r="F1324" s="16" t="n">
        <f aca="false">4*3600</f>
        <v>14400</v>
      </c>
      <c r="G1324" s="15" t="s">
        <v>36</v>
      </c>
      <c r="H1324" s="17" t="s">
        <v>25</v>
      </c>
      <c r="I1324" s="18" t="s">
        <v>26</v>
      </c>
      <c r="J1324" s="15" t="n">
        <v>2020</v>
      </c>
      <c r="K1324" s="19" t="s">
        <v>27</v>
      </c>
      <c r="L1324" s="15" t="s">
        <v>28</v>
      </c>
      <c r="M1324" s="15" t="s">
        <v>33</v>
      </c>
      <c r="N1324" s="20"/>
      <c r="O1324" s="15" t="s">
        <v>46</v>
      </c>
      <c r="P1324" s="15"/>
      <c r="Q1324" s="21"/>
      <c r="R1324" s="21"/>
      <c r="S1324" s="21"/>
      <c r="T1324" s="28"/>
      <c r="U1324" s="34"/>
    </row>
    <row r="1325" s="25" customFormat="true" ht="41.4" hidden="false" customHeight="false" outlineLevel="0" collapsed="false">
      <c r="A1325" s="36" t="s">
        <v>2980</v>
      </c>
      <c r="B1325" s="26"/>
      <c r="C1325" s="70" t="s">
        <v>122</v>
      </c>
      <c r="D1325" s="15" t="n">
        <v>12</v>
      </c>
      <c r="E1325" s="27" t="n">
        <v>14190</v>
      </c>
      <c r="F1325" s="16" t="n">
        <v>28380</v>
      </c>
      <c r="G1325" s="15" t="s">
        <v>36</v>
      </c>
      <c r="H1325" s="17" t="s">
        <v>25</v>
      </c>
      <c r="I1325" s="18" t="s">
        <v>26</v>
      </c>
      <c r="J1325" s="15" t="n">
        <v>2025</v>
      </c>
      <c r="K1325" s="19" t="s">
        <v>27</v>
      </c>
      <c r="L1325" s="15" t="s">
        <v>28</v>
      </c>
      <c r="M1325" s="15" t="s">
        <v>33</v>
      </c>
      <c r="N1325" s="17"/>
      <c r="O1325" s="15"/>
      <c r="P1325" s="15"/>
      <c r="Q1325" s="21"/>
      <c r="R1325" s="21"/>
      <c r="S1325" s="21"/>
      <c r="T1325" s="28"/>
      <c r="U1325" s="24"/>
    </row>
    <row r="1326" s="25" customFormat="true" ht="41.4" hidden="false" customHeight="false" outlineLevel="0" collapsed="false">
      <c r="A1326" s="36" t="s">
        <v>2981</v>
      </c>
      <c r="B1326" s="26" t="s">
        <v>2982</v>
      </c>
      <c r="C1326" s="70"/>
      <c r="D1326" s="15" t="n">
        <v>2</v>
      </c>
      <c r="E1326" s="27" t="n">
        <f aca="false">F1326/2</f>
        <v>500</v>
      </c>
      <c r="F1326" s="16" t="n">
        <v>1000</v>
      </c>
      <c r="G1326" s="15" t="s">
        <v>36</v>
      </c>
      <c r="H1326" s="17" t="s">
        <v>25</v>
      </c>
      <c r="I1326" s="18" t="s">
        <v>26</v>
      </c>
      <c r="J1326" s="15" t="n">
        <v>2016</v>
      </c>
      <c r="K1326" s="19" t="s">
        <v>65</v>
      </c>
      <c r="L1326" s="15" t="s">
        <v>28</v>
      </c>
      <c r="M1326" s="15" t="s">
        <v>33</v>
      </c>
      <c r="N1326" s="17" t="s">
        <v>160</v>
      </c>
      <c r="O1326" s="15"/>
      <c r="P1326" s="15"/>
      <c r="Q1326" s="21" t="s">
        <v>78</v>
      </c>
      <c r="R1326" s="21"/>
      <c r="S1326" s="21"/>
      <c r="T1326" s="28"/>
      <c r="U1326" s="24"/>
    </row>
    <row r="1327" s="25" customFormat="true" ht="41.4" hidden="false" customHeight="false" outlineLevel="0" collapsed="false">
      <c r="A1327" s="12" t="s">
        <v>2983</v>
      </c>
      <c r="B1327" s="26" t="s">
        <v>2984</v>
      </c>
      <c r="C1327" s="14" t="s">
        <v>246</v>
      </c>
      <c r="D1327" s="15" t="n">
        <v>6</v>
      </c>
      <c r="E1327" s="27" t="n">
        <f aca="false">F1327/2</f>
        <v>3012.5</v>
      </c>
      <c r="F1327" s="38" t="n">
        <v>6025</v>
      </c>
      <c r="G1327" s="15" t="s">
        <v>24</v>
      </c>
      <c r="H1327" s="17" t="s">
        <v>25</v>
      </c>
      <c r="I1327" s="18" t="s">
        <v>26</v>
      </c>
      <c r="J1327" s="15" t="n">
        <v>2000</v>
      </c>
      <c r="K1327" s="19" t="s">
        <v>27</v>
      </c>
      <c r="L1327" s="15" t="s">
        <v>28</v>
      </c>
      <c r="M1327" s="15" t="s">
        <v>33</v>
      </c>
      <c r="N1327" s="17" t="s">
        <v>175</v>
      </c>
      <c r="O1327" s="15"/>
      <c r="P1327" s="15"/>
      <c r="Q1327" s="21" t="s">
        <v>280</v>
      </c>
      <c r="R1327" s="21"/>
      <c r="S1327" s="21"/>
      <c r="T1327" s="31" t="n">
        <v>45882</v>
      </c>
      <c r="U1327" s="24" t="s">
        <v>2985</v>
      </c>
    </row>
    <row r="1328" s="25" customFormat="true" ht="41.4" hidden="false" customHeight="false" outlineLevel="0" collapsed="false">
      <c r="A1328" s="12" t="s">
        <v>2986</v>
      </c>
      <c r="B1328" s="26" t="s">
        <v>2987</v>
      </c>
      <c r="C1328" s="14" t="s">
        <v>2988</v>
      </c>
      <c r="D1328" s="15" t="n">
        <v>52</v>
      </c>
      <c r="E1328" s="27" t="n">
        <f aca="false">F1328/2</f>
        <v>2668</v>
      </c>
      <c r="F1328" s="16" t="n">
        <v>5336</v>
      </c>
      <c r="G1328" s="15" t="s">
        <v>354</v>
      </c>
      <c r="H1328" s="17" t="s">
        <v>25</v>
      </c>
      <c r="I1328" s="18" t="s">
        <v>26</v>
      </c>
      <c r="J1328" s="15" t="n">
        <v>1999</v>
      </c>
      <c r="K1328" s="19" t="s">
        <v>27</v>
      </c>
      <c r="L1328" s="15" t="s">
        <v>103</v>
      </c>
      <c r="M1328" s="15" t="s">
        <v>33</v>
      </c>
      <c r="N1328" s="17" t="s">
        <v>343</v>
      </c>
      <c r="O1328" s="15"/>
      <c r="P1328" s="15"/>
      <c r="Q1328" s="21" t="s">
        <v>344</v>
      </c>
      <c r="R1328" s="21"/>
      <c r="S1328" s="21"/>
      <c r="T1328" s="28"/>
      <c r="U1328" s="24"/>
    </row>
    <row r="1329" s="25" customFormat="true" ht="41.4" hidden="false" customHeight="false" outlineLevel="0" collapsed="false">
      <c r="A1329" s="81" t="s">
        <v>2989</v>
      </c>
      <c r="B1329" s="26"/>
      <c r="C1329" s="14" t="s">
        <v>264</v>
      </c>
      <c r="D1329" s="15" t="n">
        <v>6</v>
      </c>
      <c r="E1329" s="27" t="n">
        <f aca="false">F1329/2</f>
        <v>35622.72</v>
      </c>
      <c r="F1329" s="16" t="n">
        <f aca="false">76608*0.93</f>
        <v>71245.44</v>
      </c>
      <c r="G1329" s="15" t="s">
        <v>36</v>
      </c>
      <c r="H1329" s="17" t="s">
        <v>25</v>
      </c>
      <c r="I1329" s="18" t="s">
        <v>26</v>
      </c>
      <c r="J1329" s="15" t="n">
        <v>2024</v>
      </c>
      <c r="K1329" s="19" t="s">
        <v>27</v>
      </c>
      <c r="L1329" s="15" t="s">
        <v>28</v>
      </c>
      <c r="M1329" s="15" t="s">
        <v>33</v>
      </c>
      <c r="N1329" s="17" t="s">
        <v>164</v>
      </c>
      <c r="O1329" s="15"/>
      <c r="P1329" s="15"/>
      <c r="Q1329" s="21"/>
      <c r="R1329" s="21"/>
      <c r="S1329" s="21"/>
      <c r="T1329" s="31" t="n">
        <v>45880</v>
      </c>
      <c r="U1329" s="24"/>
    </row>
    <row r="1330" s="25" customFormat="true" ht="41.4" hidden="false" customHeight="false" outlineLevel="0" collapsed="false">
      <c r="A1330" s="80" t="s">
        <v>2990</v>
      </c>
      <c r="B1330" s="26"/>
      <c r="C1330" s="14" t="s">
        <v>264</v>
      </c>
      <c r="D1330" s="30" t="n">
        <v>12</v>
      </c>
      <c r="E1330" s="16" t="n">
        <f aca="false">F1330/2</f>
        <v>26717.04</v>
      </c>
      <c r="F1330" s="16" t="n">
        <f aca="false">57456*0.93</f>
        <v>53434.08</v>
      </c>
      <c r="G1330" s="15" t="s">
        <v>36</v>
      </c>
      <c r="H1330" s="17" t="s">
        <v>25</v>
      </c>
      <c r="I1330" s="18" t="s">
        <v>26</v>
      </c>
      <c r="J1330" s="15" t="n">
        <v>2024</v>
      </c>
      <c r="K1330" s="19" t="s">
        <v>27</v>
      </c>
      <c r="L1330" s="15" t="s">
        <v>28</v>
      </c>
      <c r="M1330" s="15" t="s">
        <v>33</v>
      </c>
      <c r="N1330" s="30"/>
      <c r="O1330" s="60"/>
      <c r="P1330" s="60"/>
      <c r="Q1330" s="21"/>
      <c r="R1330" s="21"/>
      <c r="S1330" s="40"/>
      <c r="T1330" s="31" t="n">
        <v>45880</v>
      </c>
      <c r="U1330" s="41"/>
    </row>
    <row r="1331" s="25" customFormat="true" ht="41.4" hidden="false" customHeight="false" outlineLevel="0" collapsed="false">
      <c r="A1331" s="12" t="s">
        <v>2991</v>
      </c>
      <c r="B1331" s="26"/>
      <c r="C1331" s="14" t="s">
        <v>2992</v>
      </c>
      <c r="D1331" s="15" t="n">
        <v>12</v>
      </c>
      <c r="E1331" s="16" t="n">
        <f aca="false">F1331/2</f>
        <v>429</v>
      </c>
      <c r="F1331" s="16" t="n">
        <v>858</v>
      </c>
      <c r="G1331" s="15" t="s">
        <v>36</v>
      </c>
      <c r="H1331" s="17" t="s">
        <v>25</v>
      </c>
      <c r="I1331" s="18" t="s">
        <v>26</v>
      </c>
      <c r="J1331" s="15" t="n">
        <v>2025</v>
      </c>
      <c r="K1331" s="19" t="s">
        <v>27</v>
      </c>
      <c r="L1331" s="15" t="s">
        <v>28</v>
      </c>
      <c r="M1331" s="15" t="s">
        <v>33</v>
      </c>
      <c r="N1331" s="17"/>
      <c r="O1331" s="15"/>
      <c r="P1331" s="15"/>
      <c r="Q1331" s="21"/>
      <c r="R1331" s="21"/>
      <c r="S1331" s="21"/>
      <c r="T1331" s="28"/>
      <c r="U1331" s="24"/>
    </row>
    <row r="1332" s="25" customFormat="true" ht="41.4" hidden="false" customHeight="false" outlineLevel="0" collapsed="false">
      <c r="A1332" s="80" t="s">
        <v>2993</v>
      </c>
      <c r="B1332" s="26"/>
      <c r="C1332" s="14" t="s">
        <v>264</v>
      </c>
      <c r="D1332" s="30" t="n">
        <v>12</v>
      </c>
      <c r="E1332" s="16" t="n">
        <f aca="false">F1332/2</f>
        <v>71245.44</v>
      </c>
      <c r="F1332" s="16" t="n">
        <f aca="false">153216*0.93</f>
        <v>142490.88</v>
      </c>
      <c r="G1332" s="15" t="s">
        <v>36</v>
      </c>
      <c r="H1332" s="17" t="s">
        <v>25</v>
      </c>
      <c r="I1332" s="18" t="s">
        <v>26</v>
      </c>
      <c r="J1332" s="15" t="n">
        <v>2024</v>
      </c>
      <c r="K1332" s="19" t="s">
        <v>27</v>
      </c>
      <c r="L1332" s="15" t="s">
        <v>28</v>
      </c>
      <c r="M1332" s="15" t="s">
        <v>33</v>
      </c>
      <c r="N1332" s="30"/>
      <c r="O1332" s="60"/>
      <c r="P1332" s="60"/>
      <c r="Q1332" s="21"/>
      <c r="R1332" s="21"/>
      <c r="S1332" s="40"/>
      <c r="T1332" s="31" t="n">
        <v>45880</v>
      </c>
      <c r="U1332" s="41"/>
    </row>
    <row r="1333" s="25" customFormat="true" ht="79.8" hidden="false" customHeight="false" outlineLevel="0" collapsed="false">
      <c r="A1333" s="12" t="s">
        <v>2994</v>
      </c>
      <c r="B1333" s="26" t="s">
        <v>2995</v>
      </c>
      <c r="C1333" s="14"/>
      <c r="D1333" s="15" t="n">
        <v>52</v>
      </c>
      <c r="E1333" s="27" t="n">
        <f aca="false">F1333/2</f>
        <v>3302</v>
      </c>
      <c r="F1333" s="16" t="n">
        <v>6604</v>
      </c>
      <c r="G1333" s="15" t="s">
        <v>24</v>
      </c>
      <c r="H1333" s="17" t="s">
        <v>25</v>
      </c>
      <c r="I1333" s="18" t="s">
        <v>26</v>
      </c>
      <c r="J1333" s="15" t="n">
        <v>2012</v>
      </c>
      <c r="K1333" s="19" t="s">
        <v>27</v>
      </c>
      <c r="L1333" s="15" t="s">
        <v>28</v>
      </c>
      <c r="M1333" s="15" t="s">
        <v>33</v>
      </c>
      <c r="N1333" s="17" t="s">
        <v>72</v>
      </c>
      <c r="O1333" s="15"/>
      <c r="P1333" s="15"/>
      <c r="Q1333" s="21" t="s">
        <v>73</v>
      </c>
      <c r="R1333" s="21"/>
      <c r="S1333" s="21"/>
      <c r="T1333" s="28"/>
      <c r="U1333" s="24" t="s">
        <v>2996</v>
      </c>
    </row>
    <row r="1334" s="25" customFormat="true" ht="41.4" hidden="false" customHeight="false" outlineLevel="0" collapsed="false">
      <c r="A1334" s="12" t="s">
        <v>2997</v>
      </c>
      <c r="B1334" s="26" t="s">
        <v>2998</v>
      </c>
      <c r="C1334" s="14" t="s">
        <v>2999</v>
      </c>
      <c r="D1334" s="15" t="n">
        <v>24</v>
      </c>
      <c r="E1334" s="27" t="n">
        <f aca="false">F1334/2</f>
        <v>1900.8</v>
      </c>
      <c r="F1334" s="16" t="n">
        <v>3801.6</v>
      </c>
      <c r="G1334" s="15" t="s">
        <v>36</v>
      </c>
      <c r="H1334" s="17" t="s">
        <v>25</v>
      </c>
      <c r="I1334" s="18" t="s">
        <v>26</v>
      </c>
      <c r="J1334" s="17" t="s">
        <v>3000</v>
      </c>
      <c r="K1334" s="19" t="s">
        <v>27</v>
      </c>
      <c r="L1334" s="15" t="s">
        <v>28</v>
      </c>
      <c r="M1334" s="15" t="s">
        <v>33</v>
      </c>
      <c r="N1334" s="20"/>
      <c r="O1334" s="15"/>
      <c r="P1334" s="15"/>
      <c r="Q1334" s="21" t="s">
        <v>344</v>
      </c>
      <c r="R1334" s="21"/>
      <c r="S1334" s="21"/>
      <c r="T1334" s="28"/>
      <c r="U1334" s="34"/>
    </row>
    <row r="1335" s="25" customFormat="true" ht="41.4" hidden="false" customHeight="false" outlineLevel="0" collapsed="false">
      <c r="A1335" s="12" t="s">
        <v>3001</v>
      </c>
      <c r="B1335" s="26" t="s">
        <v>3002</v>
      </c>
      <c r="C1335" s="14"/>
      <c r="D1335" s="15" t="n">
        <v>156</v>
      </c>
      <c r="E1335" s="27" t="n">
        <f aca="false">F1335/2</f>
        <v>750</v>
      </c>
      <c r="F1335" s="16" t="n">
        <v>1500</v>
      </c>
      <c r="G1335" s="15" t="s">
        <v>354</v>
      </c>
      <c r="H1335" s="17" t="s">
        <v>25</v>
      </c>
      <c r="I1335" s="18" t="s">
        <v>26</v>
      </c>
      <c r="J1335" s="15" t="n">
        <v>1999</v>
      </c>
      <c r="K1335" s="19" t="s">
        <v>27</v>
      </c>
      <c r="L1335" s="15" t="s">
        <v>103</v>
      </c>
      <c r="M1335" s="15" t="s">
        <v>33</v>
      </c>
      <c r="N1335" s="17" t="s">
        <v>343</v>
      </c>
      <c r="O1335" s="15"/>
      <c r="P1335" s="15"/>
      <c r="Q1335" s="21" t="s">
        <v>344</v>
      </c>
      <c r="R1335" s="21"/>
      <c r="S1335" s="21"/>
      <c r="T1335" s="28"/>
      <c r="U1335" s="24" t="s">
        <v>3003</v>
      </c>
    </row>
    <row r="1336" s="25" customFormat="true" ht="41.4" hidden="false" customHeight="false" outlineLevel="0" collapsed="false">
      <c r="A1336" s="12" t="s">
        <v>3004</v>
      </c>
      <c r="B1336" s="26" t="s">
        <v>3005</v>
      </c>
      <c r="C1336" s="14" t="s">
        <v>3006</v>
      </c>
      <c r="D1336" s="15" t="n">
        <v>240</v>
      </c>
      <c r="E1336" s="27" t="n">
        <f aca="false">F1336/2</f>
        <v>604</v>
      </c>
      <c r="F1336" s="16" t="n">
        <v>1208</v>
      </c>
      <c r="G1336" s="15" t="s">
        <v>36</v>
      </c>
      <c r="H1336" s="17" t="s">
        <v>25</v>
      </c>
      <c r="I1336" s="18" t="s">
        <v>26</v>
      </c>
      <c r="J1336" s="15" t="n">
        <v>2019</v>
      </c>
      <c r="K1336" s="19" t="s">
        <v>27</v>
      </c>
      <c r="L1336" s="17" t="s">
        <v>103</v>
      </c>
      <c r="M1336" s="15" t="s">
        <v>33</v>
      </c>
      <c r="N1336" s="17" t="s">
        <v>1461</v>
      </c>
      <c r="O1336" s="15"/>
      <c r="P1336" s="15"/>
      <c r="Q1336" s="21"/>
      <c r="R1336" s="21"/>
      <c r="S1336" s="21"/>
      <c r="T1336" s="28"/>
      <c r="U1336" s="34"/>
    </row>
    <row r="1337" s="25" customFormat="true" ht="41.4" hidden="false" customHeight="false" outlineLevel="0" collapsed="false">
      <c r="A1337" s="12" t="s">
        <v>3007</v>
      </c>
      <c r="B1337" s="26" t="s">
        <v>3008</v>
      </c>
      <c r="C1337" s="14" t="s">
        <v>3006</v>
      </c>
      <c r="D1337" s="15" t="n">
        <v>48</v>
      </c>
      <c r="E1337" s="27" t="n">
        <f aca="false">F1337/2</f>
        <v>302</v>
      </c>
      <c r="F1337" s="16" t="n">
        <v>604</v>
      </c>
      <c r="G1337" s="15" t="s">
        <v>36</v>
      </c>
      <c r="H1337" s="17" t="s">
        <v>25</v>
      </c>
      <c r="I1337" s="18" t="s">
        <v>26</v>
      </c>
      <c r="J1337" s="15" t="n">
        <v>2019</v>
      </c>
      <c r="K1337" s="19" t="s">
        <v>27</v>
      </c>
      <c r="L1337" s="17" t="s">
        <v>103</v>
      </c>
      <c r="M1337" s="15" t="s">
        <v>33</v>
      </c>
      <c r="N1337" s="17" t="s">
        <v>1461</v>
      </c>
      <c r="O1337" s="15"/>
      <c r="P1337" s="15"/>
      <c r="Q1337" s="21"/>
      <c r="R1337" s="21"/>
      <c r="S1337" s="21"/>
      <c r="T1337" s="28"/>
      <c r="U1337" s="34"/>
    </row>
    <row r="1338" s="25" customFormat="true" ht="41.4" hidden="false" customHeight="false" outlineLevel="0" collapsed="false">
      <c r="A1338" s="12" t="s">
        <v>3009</v>
      </c>
      <c r="B1338" s="26" t="s">
        <v>3010</v>
      </c>
      <c r="C1338" s="14" t="s">
        <v>3011</v>
      </c>
      <c r="D1338" s="15" t="n">
        <v>10</v>
      </c>
      <c r="E1338" s="27" t="n">
        <f aca="false">F1338/2</f>
        <v>13715</v>
      </c>
      <c r="F1338" s="16" t="n">
        <f aca="false">CEILING(22858*1.2,1)</f>
        <v>27430</v>
      </c>
      <c r="G1338" s="15" t="s">
        <v>24</v>
      </c>
      <c r="H1338" s="17" t="s">
        <v>25</v>
      </c>
      <c r="I1338" s="18" t="s">
        <v>26</v>
      </c>
      <c r="J1338" s="15" t="n">
        <v>2014</v>
      </c>
      <c r="K1338" s="19" t="s">
        <v>27</v>
      </c>
      <c r="L1338" s="15" t="s">
        <v>28</v>
      </c>
      <c r="M1338" s="15" t="s">
        <v>33</v>
      </c>
      <c r="N1338" s="17" t="s">
        <v>454</v>
      </c>
      <c r="O1338" s="15"/>
      <c r="P1338" s="15"/>
      <c r="Q1338" s="21" t="s">
        <v>455</v>
      </c>
      <c r="R1338" s="21"/>
      <c r="S1338" s="21"/>
      <c r="T1338" s="31" t="n">
        <v>45846</v>
      </c>
      <c r="U1338" s="24"/>
    </row>
    <row r="1339" s="25" customFormat="true" ht="41.4" hidden="false" customHeight="false" outlineLevel="0" collapsed="false">
      <c r="A1339" s="12" t="s">
        <v>3012</v>
      </c>
      <c r="B1339" s="26" t="s">
        <v>3013</v>
      </c>
      <c r="C1339" s="14" t="s">
        <v>1486</v>
      </c>
      <c r="D1339" s="15" t="n">
        <v>6</v>
      </c>
      <c r="E1339" s="27" t="n">
        <f aca="false">F1339/2</f>
        <v>50</v>
      </c>
      <c r="F1339" s="16" t="n">
        <v>100</v>
      </c>
      <c r="G1339" s="15" t="s">
        <v>36</v>
      </c>
      <c r="H1339" s="17" t="s">
        <v>25</v>
      </c>
      <c r="I1339" s="18" t="s">
        <v>26</v>
      </c>
      <c r="J1339" s="15" t="n">
        <v>2020</v>
      </c>
      <c r="K1339" s="19" t="s">
        <v>27</v>
      </c>
      <c r="L1339" s="15" t="s">
        <v>28</v>
      </c>
      <c r="M1339" s="15" t="s">
        <v>33</v>
      </c>
      <c r="N1339" s="17" t="s">
        <v>270</v>
      </c>
      <c r="O1339" s="15"/>
      <c r="P1339" s="15"/>
      <c r="Q1339" s="21"/>
      <c r="R1339" s="21"/>
      <c r="S1339" s="21"/>
      <c r="T1339" s="28"/>
      <c r="U1339" s="34"/>
    </row>
    <row r="1340" s="25" customFormat="true" ht="69" hidden="false" customHeight="false" outlineLevel="0" collapsed="false">
      <c r="A1340" s="12" t="s">
        <v>3014</v>
      </c>
      <c r="B1340" s="26" t="s">
        <v>3015</v>
      </c>
      <c r="C1340" s="14" t="s">
        <v>1332</v>
      </c>
      <c r="D1340" s="15" t="n">
        <v>2</v>
      </c>
      <c r="E1340" s="27" t="n">
        <v>50</v>
      </c>
      <c r="F1340" s="16" t="n">
        <v>100</v>
      </c>
      <c r="G1340" s="15" t="s">
        <v>36</v>
      </c>
      <c r="H1340" s="17" t="s">
        <v>25</v>
      </c>
      <c r="I1340" s="18" t="s">
        <v>26</v>
      </c>
      <c r="J1340" s="15" t="n">
        <v>2021</v>
      </c>
      <c r="K1340" s="19" t="s">
        <v>1333</v>
      </c>
      <c r="L1340" s="15" t="s">
        <v>28</v>
      </c>
      <c r="M1340" s="15" t="s">
        <v>33</v>
      </c>
      <c r="N1340" s="20" t="s">
        <v>66</v>
      </c>
      <c r="O1340" s="15"/>
      <c r="P1340" s="15"/>
      <c r="Q1340" s="21"/>
      <c r="R1340" s="21"/>
      <c r="S1340" s="21"/>
      <c r="T1340" s="28"/>
      <c r="U1340" s="34"/>
    </row>
    <row r="1341" s="25" customFormat="true" ht="41.4" hidden="false" customHeight="false" outlineLevel="0" collapsed="false">
      <c r="A1341" s="12" t="s">
        <v>3016</v>
      </c>
      <c r="B1341" s="26" t="s">
        <v>2984</v>
      </c>
      <c r="C1341" s="14" t="s">
        <v>246</v>
      </c>
      <c r="D1341" s="15" t="n">
        <v>6</v>
      </c>
      <c r="E1341" s="27" t="n">
        <f aca="false">F1341/2</f>
        <v>9527.5</v>
      </c>
      <c r="F1341" s="38" t="n">
        <v>19055</v>
      </c>
      <c r="G1341" s="15" t="s">
        <v>24</v>
      </c>
      <c r="H1341" s="17" t="s">
        <v>25</v>
      </c>
      <c r="I1341" s="18" t="s">
        <v>26</v>
      </c>
      <c r="J1341" s="15" t="n">
        <v>2024</v>
      </c>
      <c r="K1341" s="19" t="s">
        <v>27</v>
      </c>
      <c r="L1341" s="15" t="s">
        <v>28</v>
      </c>
      <c r="M1341" s="15" t="s">
        <v>33</v>
      </c>
      <c r="N1341" s="17"/>
      <c r="O1341" s="15"/>
      <c r="P1341" s="15"/>
      <c r="Q1341" s="21"/>
      <c r="R1341" s="21"/>
      <c r="S1341" s="21"/>
      <c r="T1341" s="31" t="n">
        <v>45882</v>
      </c>
      <c r="U1341" s="24" t="s">
        <v>2985</v>
      </c>
    </row>
    <row r="1342" s="25" customFormat="true" ht="41.4" hidden="false" customHeight="false" outlineLevel="0" collapsed="false">
      <c r="A1342" s="12" t="s">
        <v>3017</v>
      </c>
      <c r="B1342" s="26" t="s">
        <v>3018</v>
      </c>
      <c r="C1342" s="14"/>
      <c r="D1342" s="15" t="n">
        <v>4</v>
      </c>
      <c r="E1342" s="27" t="n">
        <f aca="false">F1342/2</f>
        <v>50</v>
      </c>
      <c r="F1342" s="16" t="n">
        <v>100</v>
      </c>
      <c r="G1342" s="15" t="s">
        <v>354</v>
      </c>
      <c r="H1342" s="17" t="s">
        <v>25</v>
      </c>
      <c r="I1342" s="18" t="s">
        <v>26</v>
      </c>
      <c r="J1342" s="15" t="n">
        <v>2014</v>
      </c>
      <c r="K1342" s="19" t="s">
        <v>27</v>
      </c>
      <c r="L1342" s="15" t="s">
        <v>28</v>
      </c>
      <c r="M1342" s="15" t="s">
        <v>33</v>
      </c>
      <c r="N1342" s="17" t="s">
        <v>167</v>
      </c>
      <c r="O1342" s="15"/>
      <c r="P1342" s="15"/>
      <c r="Q1342" s="21" t="s">
        <v>168</v>
      </c>
      <c r="R1342" s="21"/>
      <c r="S1342" s="21"/>
      <c r="T1342" s="28"/>
      <c r="U1342" s="24"/>
    </row>
    <row r="1343" s="25" customFormat="true" ht="41.4" hidden="false" customHeight="false" outlineLevel="0" collapsed="false">
      <c r="A1343" s="12" t="s">
        <v>3019</v>
      </c>
      <c r="B1343" s="26"/>
      <c r="C1343" s="14" t="s">
        <v>81</v>
      </c>
      <c r="D1343" s="15" t="n">
        <v>4</v>
      </c>
      <c r="E1343" s="16" t="n">
        <f aca="false">F1343/2</f>
        <v>50</v>
      </c>
      <c r="F1343" s="16" t="n">
        <v>100</v>
      </c>
      <c r="G1343" s="15" t="s">
        <v>36</v>
      </c>
      <c r="H1343" s="17" t="s">
        <v>25</v>
      </c>
      <c r="I1343" s="18" t="s">
        <v>26</v>
      </c>
      <c r="J1343" s="15" t="n">
        <v>2024</v>
      </c>
      <c r="K1343" s="19" t="s">
        <v>27</v>
      </c>
      <c r="L1343" s="15" t="s">
        <v>304</v>
      </c>
      <c r="M1343" s="15" t="s">
        <v>33</v>
      </c>
      <c r="N1343" s="17" t="s">
        <v>83</v>
      </c>
      <c r="O1343" s="15"/>
      <c r="P1343" s="15"/>
      <c r="Q1343" s="21"/>
      <c r="R1343" s="21"/>
      <c r="S1343" s="21"/>
      <c r="T1343" s="28"/>
      <c r="U1343" s="24"/>
    </row>
    <row r="1344" s="25" customFormat="true" ht="41.4" hidden="false" customHeight="false" outlineLevel="0" collapsed="false">
      <c r="A1344" s="12" t="s">
        <v>3020</v>
      </c>
      <c r="B1344" s="26" t="s">
        <v>3021</v>
      </c>
      <c r="C1344" s="14"/>
      <c r="D1344" s="15" t="n">
        <v>6</v>
      </c>
      <c r="E1344" s="27" t="n">
        <v>3240</v>
      </c>
      <c r="F1344" s="16" t="n">
        <v>6480</v>
      </c>
      <c r="G1344" s="15" t="s">
        <v>354</v>
      </c>
      <c r="H1344" s="17" t="s">
        <v>25</v>
      </c>
      <c r="I1344" s="18" t="s">
        <v>26</v>
      </c>
      <c r="J1344" s="15" t="n">
        <v>2007</v>
      </c>
      <c r="K1344" s="19" t="s">
        <v>27</v>
      </c>
      <c r="L1344" s="15" t="s">
        <v>28</v>
      </c>
      <c r="M1344" s="15" t="s">
        <v>33</v>
      </c>
      <c r="N1344" s="17" t="s">
        <v>53</v>
      </c>
      <c r="O1344" s="15"/>
      <c r="P1344" s="15"/>
      <c r="Q1344" s="21" t="s">
        <v>55</v>
      </c>
      <c r="R1344" s="21"/>
      <c r="S1344" s="21"/>
      <c r="T1344" s="28"/>
      <c r="U1344" s="24"/>
    </row>
    <row r="1345" s="25" customFormat="true" ht="41.4" hidden="false" customHeight="false" outlineLevel="0" collapsed="false">
      <c r="A1345" s="12" t="s">
        <v>3022</v>
      </c>
      <c r="B1345" s="26"/>
      <c r="C1345" s="14" t="s">
        <v>3023</v>
      </c>
      <c r="D1345" s="15" t="n">
        <v>4</v>
      </c>
      <c r="E1345" s="16" t="n">
        <f aca="false">F1345/2</f>
        <v>1500</v>
      </c>
      <c r="F1345" s="16" t="n">
        <v>3000</v>
      </c>
      <c r="G1345" s="15" t="s">
        <v>36</v>
      </c>
      <c r="H1345" s="17" t="s">
        <v>25</v>
      </c>
      <c r="I1345" s="18" t="s">
        <v>26</v>
      </c>
      <c r="J1345" s="15" t="n">
        <v>2025</v>
      </c>
      <c r="K1345" s="19" t="s">
        <v>27</v>
      </c>
      <c r="L1345" s="15" t="s">
        <v>28</v>
      </c>
      <c r="M1345" s="15" t="s">
        <v>33</v>
      </c>
      <c r="N1345" s="17"/>
      <c r="O1345" s="15"/>
      <c r="P1345" s="15"/>
      <c r="Q1345" s="21"/>
      <c r="R1345" s="21"/>
      <c r="S1345" s="21"/>
      <c r="T1345" s="28"/>
      <c r="U1345" s="24"/>
    </row>
    <row r="1346" s="25" customFormat="true" ht="41.4" hidden="false" customHeight="false" outlineLevel="0" collapsed="false">
      <c r="A1346" s="12" t="s">
        <v>3024</v>
      </c>
      <c r="B1346" s="26"/>
      <c r="C1346" s="14" t="s">
        <v>1340</v>
      </c>
      <c r="D1346" s="15" t="n">
        <v>6</v>
      </c>
      <c r="E1346" s="27" t="n">
        <f aca="false">F1346/2</f>
        <v>1260</v>
      </c>
      <c r="F1346" s="16" t="n">
        <f aca="false">2100*1.2</f>
        <v>2520</v>
      </c>
      <c r="G1346" s="15" t="s">
        <v>36</v>
      </c>
      <c r="H1346" s="17" t="s">
        <v>25</v>
      </c>
      <c r="I1346" s="18" t="s">
        <v>26</v>
      </c>
      <c r="J1346" s="15" t="n">
        <v>2025</v>
      </c>
      <c r="K1346" s="19" t="s">
        <v>27</v>
      </c>
      <c r="L1346" s="15" t="s">
        <v>28</v>
      </c>
      <c r="M1346" s="15" t="s">
        <v>33</v>
      </c>
      <c r="N1346" s="17"/>
      <c r="O1346" s="15"/>
      <c r="P1346" s="15"/>
      <c r="Q1346" s="21"/>
      <c r="R1346" s="21"/>
      <c r="S1346" s="21"/>
      <c r="T1346" s="28"/>
      <c r="U1346" s="24"/>
    </row>
    <row r="1347" s="25" customFormat="true" ht="41.4" hidden="false" customHeight="false" outlineLevel="0" collapsed="false">
      <c r="A1347" s="29" t="s">
        <v>3025</v>
      </c>
      <c r="B1347" s="26"/>
      <c r="C1347" s="14" t="s">
        <v>3026</v>
      </c>
      <c r="D1347" s="15" t="n">
        <v>2</v>
      </c>
      <c r="E1347" s="27" t="n">
        <f aca="false">F1347/2</f>
        <v>1500</v>
      </c>
      <c r="F1347" s="16" t="n">
        <v>3000</v>
      </c>
      <c r="G1347" s="15" t="s">
        <v>36</v>
      </c>
      <c r="H1347" s="17" t="s">
        <v>25</v>
      </c>
      <c r="I1347" s="18" t="s">
        <v>26</v>
      </c>
      <c r="J1347" s="15" t="n">
        <v>2023</v>
      </c>
      <c r="K1347" s="19" t="s">
        <v>1325</v>
      </c>
      <c r="L1347" s="15" t="s">
        <v>28</v>
      </c>
      <c r="M1347" s="15" t="s">
        <v>33</v>
      </c>
      <c r="N1347" s="17" t="s">
        <v>83</v>
      </c>
      <c r="O1347" s="15"/>
      <c r="P1347" s="15"/>
      <c r="Q1347" s="21"/>
      <c r="R1347" s="21"/>
      <c r="S1347" s="21"/>
      <c r="T1347" s="28"/>
      <c r="U1347" s="24"/>
    </row>
    <row r="1348" s="25" customFormat="true" ht="41.4" hidden="false" customHeight="false" outlineLevel="0" collapsed="false">
      <c r="A1348" s="80" t="s">
        <v>3027</v>
      </c>
      <c r="B1348" s="26" t="s">
        <v>3028</v>
      </c>
      <c r="C1348" s="14" t="s">
        <v>264</v>
      </c>
      <c r="D1348" s="30" t="n">
        <v>12</v>
      </c>
      <c r="E1348" s="16" t="n">
        <f aca="false">F1348/2</f>
        <v>69337.08</v>
      </c>
      <c r="F1348" s="16" t="n">
        <f aca="false">149112*0.93</f>
        <v>138674.16</v>
      </c>
      <c r="G1348" s="15" t="s">
        <v>36</v>
      </c>
      <c r="H1348" s="17" t="s">
        <v>25</v>
      </c>
      <c r="I1348" s="18" t="s">
        <v>26</v>
      </c>
      <c r="J1348" s="15" t="n">
        <v>2024</v>
      </c>
      <c r="K1348" s="19" t="s">
        <v>27</v>
      </c>
      <c r="L1348" s="15" t="s">
        <v>28</v>
      </c>
      <c r="M1348" s="15" t="s">
        <v>33</v>
      </c>
      <c r="N1348" s="30"/>
      <c r="O1348" s="60"/>
      <c r="P1348" s="60"/>
      <c r="Q1348" s="21"/>
      <c r="R1348" s="21"/>
      <c r="S1348" s="40"/>
      <c r="T1348" s="31" t="n">
        <v>45880</v>
      </c>
      <c r="U1348" s="41"/>
    </row>
    <row r="1349" s="25" customFormat="true" ht="55.2" hidden="false" customHeight="false" outlineLevel="0" collapsed="false">
      <c r="A1349" s="12" t="s">
        <v>3029</v>
      </c>
      <c r="B1349" s="26"/>
      <c r="C1349" s="14" t="s">
        <v>3030</v>
      </c>
      <c r="D1349" s="15" t="n">
        <v>6</v>
      </c>
      <c r="E1349" s="27" t="n">
        <f aca="false">F1349/2</f>
        <v>50</v>
      </c>
      <c r="F1349" s="16" t="n">
        <v>100</v>
      </c>
      <c r="G1349" s="15" t="s">
        <v>36</v>
      </c>
      <c r="H1349" s="17" t="s">
        <v>25</v>
      </c>
      <c r="I1349" s="18" t="s">
        <v>26</v>
      </c>
      <c r="J1349" s="15" t="n">
        <v>2025</v>
      </c>
      <c r="K1349" s="19" t="s">
        <v>27</v>
      </c>
      <c r="L1349" s="15" t="s">
        <v>28</v>
      </c>
      <c r="M1349" s="15" t="s">
        <v>33</v>
      </c>
      <c r="N1349" s="17" t="s">
        <v>153</v>
      </c>
      <c r="O1349" s="15" t="s">
        <v>250</v>
      </c>
      <c r="P1349" s="15"/>
      <c r="Q1349" s="21" t="s">
        <v>2705</v>
      </c>
      <c r="R1349" s="21"/>
      <c r="S1349" s="21" t="s">
        <v>113</v>
      </c>
      <c r="T1349" s="31" t="n">
        <v>45846</v>
      </c>
      <c r="U1349" s="24"/>
    </row>
    <row r="1350" s="25" customFormat="true" ht="41.4" hidden="false" customHeight="false" outlineLevel="0" collapsed="false">
      <c r="A1350" s="12" t="s">
        <v>3031</v>
      </c>
      <c r="B1350" s="26"/>
      <c r="C1350" s="14" t="s">
        <v>1724</v>
      </c>
      <c r="D1350" s="15" t="n">
        <v>6</v>
      </c>
      <c r="E1350" s="16" t="n">
        <f aca="false">F1350/2</f>
        <v>1183.5</v>
      </c>
      <c r="F1350" s="16" t="n">
        <f aca="false">CEILING(1972*1.2,1)</f>
        <v>2367</v>
      </c>
      <c r="G1350" s="15" t="s">
        <v>36</v>
      </c>
      <c r="H1350" s="17" t="s">
        <v>25</v>
      </c>
      <c r="I1350" s="18" t="s">
        <v>26</v>
      </c>
      <c r="J1350" s="15" t="n">
        <v>2024</v>
      </c>
      <c r="K1350" s="19" t="s">
        <v>1725</v>
      </c>
      <c r="L1350" s="15" t="s">
        <v>28</v>
      </c>
      <c r="M1350" s="15" t="s">
        <v>33</v>
      </c>
      <c r="N1350" s="17"/>
      <c r="O1350" s="15"/>
      <c r="P1350" s="15"/>
      <c r="Q1350" s="21"/>
      <c r="R1350" s="21"/>
      <c r="S1350" s="21"/>
      <c r="T1350" s="28"/>
      <c r="U1350" s="24"/>
    </row>
    <row r="1351" s="25" customFormat="true" ht="41.4" hidden="false" customHeight="false" outlineLevel="0" collapsed="false">
      <c r="A1351" s="12" t="s">
        <v>3032</v>
      </c>
      <c r="B1351" s="26"/>
      <c r="C1351" s="14" t="s">
        <v>1422</v>
      </c>
      <c r="D1351" s="15" t="n">
        <v>12</v>
      </c>
      <c r="E1351" s="27" t="n">
        <f aca="false">F1351/2</f>
        <v>2500</v>
      </c>
      <c r="F1351" s="16" t="n">
        <v>5000</v>
      </c>
      <c r="G1351" s="15" t="s">
        <v>36</v>
      </c>
      <c r="H1351" s="17" t="s">
        <v>25</v>
      </c>
      <c r="I1351" s="18" t="s">
        <v>26</v>
      </c>
      <c r="J1351" s="15" t="n">
        <v>2023</v>
      </c>
      <c r="K1351" s="19" t="s">
        <v>27</v>
      </c>
      <c r="L1351" s="15" t="s">
        <v>28</v>
      </c>
      <c r="M1351" s="15" t="s">
        <v>33</v>
      </c>
      <c r="N1351" s="17" t="s">
        <v>45</v>
      </c>
      <c r="O1351" s="15"/>
      <c r="P1351" s="15"/>
      <c r="Q1351" s="21"/>
      <c r="R1351" s="21"/>
      <c r="S1351" s="21"/>
      <c r="T1351" s="28"/>
      <c r="U1351" s="24"/>
    </row>
    <row r="1352" s="25" customFormat="true" ht="41.4" hidden="false" customHeight="false" outlineLevel="0" collapsed="false">
      <c r="A1352" s="12" t="s">
        <v>3033</v>
      </c>
      <c r="B1352" s="26" t="s">
        <v>3034</v>
      </c>
      <c r="C1352" s="14" t="s">
        <v>2619</v>
      </c>
      <c r="D1352" s="15" t="n">
        <v>12</v>
      </c>
      <c r="E1352" s="27" t="n">
        <v>5000</v>
      </c>
      <c r="F1352" s="16" t="n">
        <v>10000</v>
      </c>
      <c r="G1352" s="15" t="s">
        <v>36</v>
      </c>
      <c r="H1352" s="17" t="s">
        <v>25</v>
      </c>
      <c r="I1352" s="18" t="s">
        <v>26</v>
      </c>
      <c r="J1352" s="15" t="n">
        <v>2016</v>
      </c>
      <c r="K1352" s="19" t="s">
        <v>27</v>
      </c>
      <c r="L1352" s="15" t="s">
        <v>28</v>
      </c>
      <c r="M1352" s="15" t="s">
        <v>33</v>
      </c>
      <c r="N1352" s="17" t="s">
        <v>72</v>
      </c>
      <c r="O1352" s="15"/>
      <c r="P1352" s="15"/>
      <c r="Q1352" s="21" t="s">
        <v>73</v>
      </c>
      <c r="R1352" s="21"/>
      <c r="S1352" s="21"/>
      <c r="T1352" s="28"/>
      <c r="U1352" s="24"/>
    </row>
    <row r="1353" s="25" customFormat="true" ht="41.4" hidden="false" customHeight="false" outlineLevel="0" collapsed="false">
      <c r="A1353" s="12" t="s">
        <v>3035</v>
      </c>
      <c r="B1353" s="26"/>
      <c r="C1353" s="14" t="s">
        <v>1422</v>
      </c>
      <c r="D1353" s="15" t="n">
        <v>6</v>
      </c>
      <c r="E1353" s="27" t="n">
        <f aca="false">F1353/2</f>
        <v>1500</v>
      </c>
      <c r="F1353" s="16" t="n">
        <v>3000</v>
      </c>
      <c r="G1353" s="15" t="s">
        <v>36</v>
      </c>
      <c r="H1353" s="17" t="s">
        <v>25</v>
      </c>
      <c r="I1353" s="18" t="s">
        <v>26</v>
      </c>
      <c r="J1353" s="15" t="n">
        <v>2024</v>
      </c>
      <c r="K1353" s="19" t="s">
        <v>27</v>
      </c>
      <c r="L1353" s="15" t="s">
        <v>28</v>
      </c>
      <c r="M1353" s="15" t="s">
        <v>33</v>
      </c>
      <c r="N1353" s="17"/>
      <c r="O1353" s="15"/>
      <c r="P1353" s="15"/>
      <c r="Q1353" s="21"/>
      <c r="R1353" s="21"/>
      <c r="S1353" s="21"/>
      <c r="T1353" s="28"/>
      <c r="U1353" s="24"/>
    </row>
    <row r="1354" s="25" customFormat="true" ht="41.4" hidden="false" customHeight="false" outlineLevel="0" collapsed="false">
      <c r="A1354" s="81" t="s">
        <v>3036</v>
      </c>
      <c r="B1354" s="26"/>
      <c r="C1354" s="14" t="s">
        <v>264</v>
      </c>
      <c r="D1354" s="30" t="n">
        <v>6</v>
      </c>
      <c r="E1354" s="16" t="n">
        <f aca="false">F1354/2</f>
        <v>36894.96</v>
      </c>
      <c r="F1354" s="16" t="n">
        <f aca="false">79344*0.93</f>
        <v>73789.92</v>
      </c>
      <c r="G1354" s="15" t="s">
        <v>36</v>
      </c>
      <c r="H1354" s="17" t="s">
        <v>25</v>
      </c>
      <c r="I1354" s="18" t="s">
        <v>26</v>
      </c>
      <c r="J1354" s="15" t="n">
        <v>2024</v>
      </c>
      <c r="K1354" s="19" t="s">
        <v>27</v>
      </c>
      <c r="L1354" s="15" t="s">
        <v>28</v>
      </c>
      <c r="M1354" s="15" t="s">
        <v>33</v>
      </c>
      <c r="N1354" s="17" t="s">
        <v>126</v>
      </c>
      <c r="O1354" s="60"/>
      <c r="P1354" s="60"/>
      <c r="Q1354" s="21"/>
      <c r="R1354" s="21"/>
      <c r="S1354" s="40"/>
      <c r="T1354" s="31" t="n">
        <v>45880</v>
      </c>
      <c r="U1354" s="41"/>
    </row>
    <row r="1355" s="25" customFormat="true" ht="41.4" hidden="false" customHeight="false" outlineLevel="0" collapsed="false">
      <c r="A1355" s="12" t="s">
        <v>3037</v>
      </c>
      <c r="B1355" s="26"/>
      <c r="C1355" s="14" t="s">
        <v>1549</v>
      </c>
      <c r="D1355" s="15" t="n">
        <v>4</v>
      </c>
      <c r="E1355" s="27" t="n">
        <f aca="false">F1355/2</f>
        <v>1600</v>
      </c>
      <c r="F1355" s="16" t="n">
        <f aca="false">4*800</f>
        <v>3200</v>
      </c>
      <c r="G1355" s="15" t="s">
        <v>36</v>
      </c>
      <c r="H1355" s="17" t="s">
        <v>25</v>
      </c>
      <c r="I1355" s="18" t="s">
        <v>26</v>
      </c>
      <c r="J1355" s="15" t="n">
        <v>2024</v>
      </c>
      <c r="K1355" s="19" t="s">
        <v>1550</v>
      </c>
      <c r="L1355" s="15" t="s">
        <v>28</v>
      </c>
      <c r="M1355" s="15" t="s">
        <v>33</v>
      </c>
      <c r="N1355" s="17"/>
      <c r="O1355" s="15"/>
      <c r="P1355" s="15"/>
      <c r="Q1355" s="21" t="s">
        <v>78</v>
      </c>
      <c r="R1355" s="21"/>
      <c r="S1355" s="21"/>
      <c r="T1355" s="28"/>
      <c r="U1355" s="24"/>
    </row>
    <row r="1356" s="25" customFormat="true" ht="41.4" hidden="false" customHeight="false" outlineLevel="0" collapsed="false">
      <c r="A1356" s="12" t="s">
        <v>3038</v>
      </c>
      <c r="B1356" s="26" t="s">
        <v>3039</v>
      </c>
      <c r="C1356" s="14" t="s">
        <v>589</v>
      </c>
      <c r="D1356" s="15" t="n">
        <v>4</v>
      </c>
      <c r="E1356" s="27" t="n">
        <f aca="false">F1356/2</f>
        <v>2160</v>
      </c>
      <c r="F1356" s="16" t="n">
        <v>4320</v>
      </c>
      <c r="G1356" s="15" t="s">
        <v>36</v>
      </c>
      <c r="H1356" s="17" t="s">
        <v>25</v>
      </c>
      <c r="I1356" s="18" t="s">
        <v>26</v>
      </c>
      <c r="J1356" s="15" t="n">
        <v>2020</v>
      </c>
      <c r="K1356" s="19" t="s">
        <v>27</v>
      </c>
      <c r="L1356" s="15" t="s">
        <v>28</v>
      </c>
      <c r="M1356" s="15" t="s">
        <v>33</v>
      </c>
      <c r="N1356" s="20"/>
      <c r="O1356" s="15"/>
      <c r="P1356" s="15"/>
      <c r="Q1356" s="21"/>
      <c r="R1356" s="21"/>
      <c r="S1356" s="21"/>
      <c r="T1356" s="28"/>
      <c r="U1356" s="34"/>
    </row>
    <row r="1357" s="25" customFormat="true" ht="41.4" hidden="false" customHeight="false" outlineLevel="0" collapsed="false">
      <c r="A1357" s="12" t="s">
        <v>3040</v>
      </c>
      <c r="B1357" s="26"/>
      <c r="C1357" s="14" t="s">
        <v>35</v>
      </c>
      <c r="D1357" s="15" t="n">
        <v>4</v>
      </c>
      <c r="E1357" s="27" t="n">
        <f aca="false">F1357/2</f>
        <v>50</v>
      </c>
      <c r="F1357" s="16" t="n">
        <v>100</v>
      </c>
      <c r="G1357" s="15" t="s">
        <v>36</v>
      </c>
      <c r="H1357" s="17" t="s">
        <v>25</v>
      </c>
      <c r="I1357" s="18" t="s">
        <v>26</v>
      </c>
      <c r="J1357" s="15" t="n">
        <v>2025</v>
      </c>
      <c r="K1357" s="19" t="s">
        <v>37</v>
      </c>
      <c r="L1357" s="15" t="s">
        <v>28</v>
      </c>
      <c r="M1357" s="15"/>
      <c r="N1357" s="17"/>
      <c r="O1357" s="15"/>
      <c r="P1357" s="15"/>
      <c r="Q1357" s="21"/>
      <c r="R1357" s="21"/>
      <c r="S1357" s="21"/>
      <c r="T1357" s="28"/>
      <c r="U1357" s="24"/>
    </row>
    <row r="1358" s="25" customFormat="true" ht="41.4" hidden="false" customHeight="false" outlineLevel="0" collapsed="false">
      <c r="A1358" s="81" t="s">
        <v>3041</v>
      </c>
      <c r="B1358" s="26" t="s">
        <v>3042</v>
      </c>
      <c r="C1358" s="14" t="s">
        <v>264</v>
      </c>
      <c r="D1358" s="30" t="n">
        <v>12</v>
      </c>
      <c r="E1358" s="16" t="n">
        <f aca="false">F1358/2</f>
        <v>69337.08</v>
      </c>
      <c r="F1358" s="16" t="n">
        <f aca="false">149112*0.93</f>
        <v>138674.16</v>
      </c>
      <c r="G1358" s="15" t="s">
        <v>36</v>
      </c>
      <c r="H1358" s="17" t="s">
        <v>25</v>
      </c>
      <c r="I1358" s="18" t="s">
        <v>26</v>
      </c>
      <c r="J1358" s="15" t="n">
        <v>2024</v>
      </c>
      <c r="K1358" s="19" t="s">
        <v>27</v>
      </c>
      <c r="L1358" s="15" t="s">
        <v>28</v>
      </c>
      <c r="M1358" s="15" t="s">
        <v>33</v>
      </c>
      <c r="N1358" s="30"/>
      <c r="O1358" s="60"/>
      <c r="P1358" s="60"/>
      <c r="Q1358" s="21"/>
      <c r="R1358" s="21"/>
      <c r="S1358" s="40"/>
      <c r="T1358" s="31" t="n">
        <v>45880</v>
      </c>
      <c r="U1358" s="41"/>
    </row>
    <row r="1359" s="25" customFormat="true" ht="41.4" hidden="false" customHeight="false" outlineLevel="0" collapsed="false">
      <c r="A1359" s="12" t="s">
        <v>3043</v>
      </c>
      <c r="B1359" s="26" t="s">
        <v>3044</v>
      </c>
      <c r="C1359" s="14" t="s">
        <v>3045</v>
      </c>
      <c r="D1359" s="30" t="n">
        <v>48</v>
      </c>
      <c r="E1359" s="27" t="n">
        <v>700</v>
      </c>
      <c r="F1359" s="16" t="n">
        <v>1400</v>
      </c>
      <c r="G1359" s="15" t="s">
        <v>36</v>
      </c>
      <c r="H1359" s="17" t="s">
        <v>25</v>
      </c>
      <c r="I1359" s="18" t="s">
        <v>26</v>
      </c>
      <c r="J1359" s="15" t="n">
        <v>2017</v>
      </c>
      <c r="K1359" s="19" t="s">
        <v>27</v>
      </c>
      <c r="L1359" s="15" t="s">
        <v>103</v>
      </c>
      <c r="M1359" s="15" t="s">
        <v>33</v>
      </c>
      <c r="N1359" s="30"/>
      <c r="O1359" s="60"/>
      <c r="P1359" s="60"/>
      <c r="Q1359" s="21" t="s">
        <v>344</v>
      </c>
      <c r="R1359" s="21"/>
      <c r="S1359" s="21"/>
      <c r="T1359" s="28"/>
      <c r="U1359" s="24" t="s">
        <v>3046</v>
      </c>
    </row>
    <row r="1360" s="25" customFormat="true" ht="41.4" hidden="false" customHeight="false" outlineLevel="0" collapsed="false">
      <c r="A1360" s="12" t="s">
        <v>3047</v>
      </c>
      <c r="B1360" s="26" t="s">
        <v>3048</v>
      </c>
      <c r="C1360" s="14" t="s">
        <v>401</v>
      </c>
      <c r="D1360" s="15" t="n">
        <v>4</v>
      </c>
      <c r="E1360" s="27" t="n">
        <f aca="false">F1360/2</f>
        <v>4000</v>
      </c>
      <c r="F1360" s="16" t="n">
        <v>8000</v>
      </c>
      <c r="G1360" s="15" t="s">
        <v>36</v>
      </c>
      <c r="H1360" s="17" t="s">
        <v>25</v>
      </c>
      <c r="I1360" s="18" t="s">
        <v>26</v>
      </c>
      <c r="J1360" s="15" t="n">
        <v>2018</v>
      </c>
      <c r="K1360" s="19" t="s">
        <v>27</v>
      </c>
      <c r="L1360" s="15" t="s">
        <v>28</v>
      </c>
      <c r="M1360" s="15" t="s">
        <v>33</v>
      </c>
      <c r="N1360" s="17" t="s">
        <v>153</v>
      </c>
      <c r="O1360" s="15"/>
      <c r="P1360" s="15"/>
      <c r="Q1360" s="21" t="s">
        <v>78</v>
      </c>
      <c r="R1360" s="21"/>
      <c r="S1360" s="21"/>
      <c r="T1360" s="28"/>
      <c r="U1360" s="24"/>
    </row>
    <row r="1361" s="25" customFormat="true" ht="41.4" hidden="false" customHeight="false" outlineLevel="0" collapsed="false">
      <c r="A1361" s="12" t="s">
        <v>3049</v>
      </c>
      <c r="B1361" s="26"/>
      <c r="C1361" s="14" t="s">
        <v>985</v>
      </c>
      <c r="D1361" s="15" t="n">
        <v>6</v>
      </c>
      <c r="E1361" s="27" t="n">
        <f aca="false">F1361/2</f>
        <v>1200</v>
      </c>
      <c r="F1361" s="16" t="n">
        <v>2400</v>
      </c>
      <c r="G1361" s="15" t="s">
        <v>36</v>
      </c>
      <c r="H1361" s="17" t="s">
        <v>25</v>
      </c>
      <c r="I1361" s="18" t="s">
        <v>26</v>
      </c>
      <c r="J1361" s="15" t="n">
        <v>2025</v>
      </c>
      <c r="K1361" s="19" t="s">
        <v>27</v>
      </c>
      <c r="L1361" s="15" t="s">
        <v>28</v>
      </c>
      <c r="M1361" s="15" t="s">
        <v>33</v>
      </c>
      <c r="N1361" s="20" t="s">
        <v>83</v>
      </c>
      <c r="O1361" s="15" t="s">
        <v>203</v>
      </c>
      <c r="P1361" s="15"/>
      <c r="Q1361" s="21"/>
      <c r="R1361" s="21"/>
      <c r="S1361" s="21"/>
      <c r="T1361" s="31" t="n">
        <v>45904</v>
      </c>
      <c r="U1361" s="24"/>
    </row>
    <row r="1362" s="25" customFormat="true" ht="41.4" hidden="false" customHeight="false" outlineLevel="0" collapsed="false">
      <c r="A1362" s="12" t="s">
        <v>3050</v>
      </c>
      <c r="B1362" s="26" t="s">
        <v>3051</v>
      </c>
      <c r="C1362" s="14" t="s">
        <v>1051</v>
      </c>
      <c r="D1362" s="15" t="n">
        <v>4</v>
      </c>
      <c r="E1362" s="27" t="n">
        <f aca="false">F1362/2</f>
        <v>3120</v>
      </c>
      <c r="F1362" s="16" t="n">
        <f aca="false">5200*1.2</f>
        <v>6240</v>
      </c>
      <c r="G1362" s="15" t="s">
        <v>24</v>
      </c>
      <c r="H1362" s="17" t="s">
        <v>25</v>
      </c>
      <c r="I1362" s="18" t="s">
        <v>26</v>
      </c>
      <c r="J1362" s="15" t="n">
        <v>2011</v>
      </c>
      <c r="K1362" s="19" t="s">
        <v>27</v>
      </c>
      <c r="L1362" s="15" t="s">
        <v>28</v>
      </c>
      <c r="M1362" s="15" t="s">
        <v>33</v>
      </c>
      <c r="N1362" s="17" t="s">
        <v>45</v>
      </c>
      <c r="O1362" s="15"/>
      <c r="P1362" s="15"/>
      <c r="Q1362" s="21" t="s">
        <v>862</v>
      </c>
      <c r="R1362" s="21"/>
      <c r="S1362" s="21"/>
      <c r="T1362" s="31" t="n">
        <v>45856</v>
      </c>
      <c r="U1362" s="24"/>
    </row>
    <row r="1363" s="25" customFormat="true" ht="41.4" hidden="false" customHeight="false" outlineLevel="0" collapsed="false">
      <c r="A1363" s="12" t="s">
        <v>3052</v>
      </c>
      <c r="B1363" s="26" t="s">
        <v>3053</v>
      </c>
      <c r="C1363" s="14"/>
      <c r="D1363" s="15" t="n">
        <v>6</v>
      </c>
      <c r="E1363" s="27" t="n">
        <v>510</v>
      </c>
      <c r="F1363" s="16" t="n">
        <v>1020</v>
      </c>
      <c r="G1363" s="15" t="s">
        <v>354</v>
      </c>
      <c r="H1363" s="17" t="s">
        <v>25</v>
      </c>
      <c r="I1363" s="18" t="s">
        <v>26</v>
      </c>
      <c r="J1363" s="15" t="n">
        <v>2014</v>
      </c>
      <c r="K1363" s="19" t="s">
        <v>27</v>
      </c>
      <c r="L1363" s="15" t="s">
        <v>28</v>
      </c>
      <c r="M1363" s="15" t="s">
        <v>33</v>
      </c>
      <c r="N1363" s="17" t="s">
        <v>45</v>
      </c>
      <c r="O1363" s="15"/>
      <c r="P1363" s="15"/>
      <c r="Q1363" s="21" t="s">
        <v>1972</v>
      </c>
      <c r="R1363" s="21"/>
      <c r="S1363" s="21"/>
      <c r="T1363" s="28"/>
      <c r="U1363" s="24"/>
    </row>
    <row r="1364" s="25" customFormat="true" ht="41.4" hidden="false" customHeight="false" outlineLevel="0" collapsed="false">
      <c r="A1364" s="80" t="s">
        <v>3054</v>
      </c>
      <c r="B1364" s="26" t="s">
        <v>3055</v>
      </c>
      <c r="C1364" s="14" t="s">
        <v>264</v>
      </c>
      <c r="D1364" s="30" t="n">
        <v>12</v>
      </c>
      <c r="E1364" s="16" t="n">
        <f aca="false">F1364/2</f>
        <v>37531.08</v>
      </c>
      <c r="F1364" s="16" t="n">
        <f aca="false">80712*0.93</f>
        <v>75062.16</v>
      </c>
      <c r="G1364" s="15" t="s">
        <v>36</v>
      </c>
      <c r="H1364" s="17" t="s">
        <v>25</v>
      </c>
      <c r="I1364" s="18" t="s">
        <v>26</v>
      </c>
      <c r="J1364" s="15" t="n">
        <v>2024</v>
      </c>
      <c r="K1364" s="19" t="s">
        <v>27</v>
      </c>
      <c r="L1364" s="15" t="s">
        <v>28</v>
      </c>
      <c r="M1364" s="15" t="s">
        <v>33</v>
      </c>
      <c r="N1364" s="30"/>
      <c r="O1364" s="60"/>
      <c r="P1364" s="60"/>
      <c r="Q1364" s="21"/>
      <c r="R1364" s="21"/>
      <c r="S1364" s="40"/>
      <c r="T1364" s="31" t="n">
        <v>45880</v>
      </c>
      <c r="U1364" s="41"/>
    </row>
    <row r="1365" s="25" customFormat="true" ht="41.4" hidden="false" customHeight="false" outlineLevel="0" collapsed="false">
      <c r="A1365" s="36" t="s">
        <v>3056</v>
      </c>
      <c r="B1365" s="26" t="s">
        <v>3057</v>
      </c>
      <c r="C1365" s="14"/>
      <c r="D1365" s="15" t="n">
        <v>4</v>
      </c>
      <c r="E1365" s="27" t="n">
        <f aca="false">F1365/2</f>
        <v>50</v>
      </c>
      <c r="F1365" s="16" t="n">
        <v>100</v>
      </c>
      <c r="G1365" s="15" t="s">
        <v>354</v>
      </c>
      <c r="H1365" s="17" t="s">
        <v>25</v>
      </c>
      <c r="I1365" s="18" t="s">
        <v>26</v>
      </c>
      <c r="J1365" s="15" t="n">
        <v>2014</v>
      </c>
      <c r="K1365" s="19" t="s">
        <v>27</v>
      </c>
      <c r="L1365" s="15" t="s">
        <v>28</v>
      </c>
      <c r="M1365" s="15" t="s">
        <v>33</v>
      </c>
      <c r="N1365" s="17" t="s">
        <v>167</v>
      </c>
      <c r="O1365" s="15"/>
      <c r="P1365" s="15"/>
      <c r="Q1365" s="21" t="s">
        <v>168</v>
      </c>
      <c r="R1365" s="21"/>
      <c r="S1365" s="21"/>
      <c r="T1365" s="28"/>
      <c r="U1365" s="24"/>
    </row>
    <row r="1366" s="25" customFormat="true" ht="41.4" hidden="false" customHeight="false" outlineLevel="0" collapsed="false">
      <c r="A1366" s="36" t="s">
        <v>3058</v>
      </c>
      <c r="B1366" s="26" t="s">
        <v>3059</v>
      </c>
      <c r="C1366" s="14" t="s">
        <v>1422</v>
      </c>
      <c r="D1366" s="15" t="n">
        <v>12</v>
      </c>
      <c r="E1366" s="27" t="n">
        <f aca="false">F1366/2</f>
        <v>2500</v>
      </c>
      <c r="F1366" s="16" t="n">
        <v>5000</v>
      </c>
      <c r="G1366" s="15" t="s">
        <v>24</v>
      </c>
      <c r="H1366" s="17" t="s">
        <v>25</v>
      </c>
      <c r="I1366" s="18" t="s">
        <v>26</v>
      </c>
      <c r="J1366" s="15" t="n">
        <v>2014</v>
      </c>
      <c r="K1366" s="19" t="s">
        <v>27</v>
      </c>
      <c r="L1366" s="15" t="s">
        <v>28</v>
      </c>
      <c r="M1366" s="15" t="s">
        <v>33</v>
      </c>
      <c r="N1366" s="17" t="s">
        <v>865</v>
      </c>
      <c r="O1366" s="15"/>
      <c r="P1366" s="15"/>
      <c r="Q1366" s="21" t="s">
        <v>1972</v>
      </c>
      <c r="R1366" s="21"/>
      <c r="S1366" s="21"/>
      <c r="T1366" s="28"/>
      <c r="U1366" s="24"/>
    </row>
    <row r="1367" s="25" customFormat="true" ht="41.4" hidden="false" customHeight="false" outlineLevel="0" collapsed="false">
      <c r="A1367" s="12" t="s">
        <v>3060</v>
      </c>
      <c r="B1367" s="26" t="s">
        <v>3061</v>
      </c>
      <c r="C1367" s="14" t="s">
        <v>531</v>
      </c>
      <c r="D1367" s="15" t="n">
        <v>12</v>
      </c>
      <c r="E1367" s="27" t="n">
        <f aca="false">F1367/2</f>
        <v>4565</v>
      </c>
      <c r="F1367" s="16" t="n">
        <v>9130</v>
      </c>
      <c r="G1367" s="15" t="s">
        <v>36</v>
      </c>
      <c r="H1367" s="17" t="s">
        <v>25</v>
      </c>
      <c r="I1367" s="18" t="s">
        <v>26</v>
      </c>
      <c r="J1367" s="15" t="n">
        <v>2020</v>
      </c>
      <c r="K1367" s="19" t="s">
        <v>27</v>
      </c>
      <c r="L1367" s="15" t="s">
        <v>28</v>
      </c>
      <c r="M1367" s="15" t="s">
        <v>33</v>
      </c>
      <c r="N1367" s="20"/>
      <c r="O1367" s="15"/>
      <c r="P1367" s="15"/>
      <c r="Q1367" s="21"/>
      <c r="R1367" s="21"/>
      <c r="S1367" s="21"/>
      <c r="T1367" s="28"/>
      <c r="U1367" s="34"/>
    </row>
    <row r="1368" s="25" customFormat="true" ht="41.4" hidden="false" customHeight="false" outlineLevel="0" collapsed="false">
      <c r="A1368" s="12" t="s">
        <v>3062</v>
      </c>
      <c r="B1368" s="26" t="s">
        <v>3063</v>
      </c>
      <c r="C1368" s="14" t="s">
        <v>95</v>
      </c>
      <c r="D1368" s="15" t="n">
        <v>6</v>
      </c>
      <c r="E1368" s="27" t="n">
        <f aca="false">F1368/2</f>
        <v>9360</v>
      </c>
      <c r="F1368" s="16" t="n">
        <f aca="false">6*2600*1.2</f>
        <v>18720</v>
      </c>
      <c r="G1368" s="15" t="s">
        <v>36</v>
      </c>
      <c r="H1368" s="17" t="s">
        <v>25</v>
      </c>
      <c r="I1368" s="18" t="s">
        <v>26</v>
      </c>
      <c r="J1368" s="15" t="n">
        <v>2012</v>
      </c>
      <c r="K1368" s="19" t="s">
        <v>27</v>
      </c>
      <c r="L1368" s="15" t="s">
        <v>28</v>
      </c>
      <c r="M1368" s="15" t="s">
        <v>33</v>
      </c>
      <c r="N1368" s="17"/>
      <c r="O1368" s="15"/>
      <c r="P1368" s="15"/>
      <c r="Q1368" s="21" t="s">
        <v>253</v>
      </c>
      <c r="R1368" s="21"/>
      <c r="S1368" s="21"/>
      <c r="T1368" s="31" t="n">
        <v>45880</v>
      </c>
      <c r="U1368" s="24"/>
    </row>
    <row r="1369" s="25" customFormat="true" ht="41.4" hidden="false" customHeight="false" outlineLevel="0" collapsed="false">
      <c r="A1369" s="12" t="s">
        <v>3064</v>
      </c>
      <c r="B1369" s="26" t="s">
        <v>3065</v>
      </c>
      <c r="C1369" s="14"/>
      <c r="D1369" s="15" t="n">
        <v>4</v>
      </c>
      <c r="E1369" s="27" t="n">
        <v>800</v>
      </c>
      <c r="F1369" s="16" t="n">
        <v>1600</v>
      </c>
      <c r="G1369" s="15" t="s">
        <v>354</v>
      </c>
      <c r="H1369" s="17" t="s">
        <v>25</v>
      </c>
      <c r="I1369" s="18" t="s">
        <v>26</v>
      </c>
      <c r="J1369" s="15" t="n">
        <v>2017</v>
      </c>
      <c r="K1369" s="19" t="s">
        <v>27</v>
      </c>
      <c r="L1369" s="15" t="s">
        <v>28</v>
      </c>
      <c r="M1369" s="15" t="s">
        <v>33</v>
      </c>
      <c r="N1369" s="17"/>
      <c r="O1369" s="15"/>
      <c r="P1369" s="15"/>
      <c r="Q1369" s="21" t="s">
        <v>78</v>
      </c>
      <c r="R1369" s="21"/>
      <c r="S1369" s="21"/>
      <c r="T1369" s="28"/>
      <c r="U1369" s="24"/>
    </row>
    <row r="1370" s="25" customFormat="true" ht="41.4" hidden="false" customHeight="false" outlineLevel="0" collapsed="false">
      <c r="A1370" s="12" t="s">
        <v>3066</v>
      </c>
      <c r="B1370" s="26"/>
      <c r="C1370" s="14" t="s">
        <v>197</v>
      </c>
      <c r="D1370" s="15" t="n">
        <v>4</v>
      </c>
      <c r="E1370" s="16" t="n">
        <f aca="false">F1370/2</f>
        <v>625</v>
      </c>
      <c r="F1370" s="16" t="n">
        <v>1250</v>
      </c>
      <c r="G1370" s="15" t="s">
        <v>36</v>
      </c>
      <c r="H1370" s="17" t="s">
        <v>25</v>
      </c>
      <c r="I1370" s="18" t="s">
        <v>26</v>
      </c>
      <c r="J1370" s="15" t="n">
        <v>2025</v>
      </c>
      <c r="K1370" s="19" t="s">
        <v>27</v>
      </c>
      <c r="L1370" s="15" t="s">
        <v>28</v>
      </c>
      <c r="M1370" s="15" t="s">
        <v>33</v>
      </c>
      <c r="N1370" s="17"/>
      <c r="O1370" s="15"/>
      <c r="P1370" s="15"/>
      <c r="Q1370" s="21"/>
      <c r="R1370" s="21"/>
      <c r="S1370" s="21"/>
      <c r="T1370" s="28"/>
      <c r="U1370" s="24"/>
    </row>
    <row r="1371" s="25" customFormat="true" ht="41.4" hidden="false" customHeight="false" outlineLevel="0" collapsed="false">
      <c r="A1371" s="12" t="s">
        <v>3067</v>
      </c>
      <c r="B1371" s="26" t="s">
        <v>3068</v>
      </c>
      <c r="C1371" s="14" t="s">
        <v>246</v>
      </c>
      <c r="D1371" s="15" t="n">
        <v>12</v>
      </c>
      <c r="E1371" s="27" t="n">
        <f aca="false">F1371/2</f>
        <v>6025.5</v>
      </c>
      <c r="F1371" s="38" t="n">
        <v>12051</v>
      </c>
      <c r="G1371" s="15" t="s">
        <v>24</v>
      </c>
      <c r="H1371" s="17" t="s">
        <v>25</v>
      </c>
      <c r="I1371" s="18" t="s">
        <v>26</v>
      </c>
      <c r="J1371" s="15" t="n">
        <v>2000</v>
      </c>
      <c r="K1371" s="19" t="s">
        <v>27</v>
      </c>
      <c r="L1371" s="15" t="s">
        <v>28</v>
      </c>
      <c r="M1371" s="15" t="s">
        <v>33</v>
      </c>
      <c r="N1371" s="17" t="s">
        <v>682</v>
      </c>
      <c r="O1371" s="15"/>
      <c r="P1371" s="15"/>
      <c r="Q1371" s="21" t="s">
        <v>280</v>
      </c>
      <c r="R1371" s="21"/>
      <c r="S1371" s="21"/>
      <c r="T1371" s="31" t="n">
        <v>45882</v>
      </c>
      <c r="U1371" s="24" t="s">
        <v>3069</v>
      </c>
    </row>
    <row r="1372" s="25" customFormat="true" ht="41.4" hidden="false" customHeight="false" outlineLevel="0" collapsed="false">
      <c r="A1372" s="12" t="s">
        <v>682</v>
      </c>
      <c r="B1372" s="26"/>
      <c r="C1372" s="14" t="s">
        <v>1422</v>
      </c>
      <c r="D1372" s="15" t="n">
        <v>12</v>
      </c>
      <c r="E1372" s="27" t="n">
        <f aca="false">F1372/2</f>
        <v>2500</v>
      </c>
      <c r="F1372" s="16" t="n">
        <v>5000</v>
      </c>
      <c r="G1372" s="15" t="s">
        <v>36</v>
      </c>
      <c r="H1372" s="17" t="s">
        <v>25</v>
      </c>
      <c r="I1372" s="18" t="s">
        <v>26</v>
      </c>
      <c r="J1372" s="15" t="n">
        <v>2023</v>
      </c>
      <c r="K1372" s="19" t="s">
        <v>27</v>
      </c>
      <c r="L1372" s="15" t="s">
        <v>28</v>
      </c>
      <c r="M1372" s="15" t="s">
        <v>33</v>
      </c>
      <c r="N1372" s="17" t="s">
        <v>682</v>
      </c>
      <c r="O1372" s="15"/>
      <c r="P1372" s="15"/>
      <c r="Q1372" s="21"/>
      <c r="R1372" s="21"/>
      <c r="S1372" s="21"/>
      <c r="T1372" s="28"/>
      <c r="U1372" s="24"/>
    </row>
    <row r="1373" s="25" customFormat="true" ht="41.4" hidden="false" customHeight="false" outlineLevel="0" collapsed="false">
      <c r="A1373" s="12" t="s">
        <v>3070</v>
      </c>
      <c r="B1373" s="26" t="s">
        <v>3071</v>
      </c>
      <c r="C1373" s="14" t="s">
        <v>197</v>
      </c>
      <c r="D1373" s="15" t="n">
        <v>4</v>
      </c>
      <c r="E1373" s="27" t="n">
        <f aca="false">F1373/2</f>
        <v>625</v>
      </c>
      <c r="F1373" s="16" t="n">
        <v>1250</v>
      </c>
      <c r="G1373" s="15" t="s">
        <v>36</v>
      </c>
      <c r="H1373" s="17" t="s">
        <v>25</v>
      </c>
      <c r="I1373" s="18" t="s">
        <v>26</v>
      </c>
      <c r="J1373" s="15" t="n">
        <v>2020</v>
      </c>
      <c r="K1373" s="19" t="s">
        <v>27</v>
      </c>
      <c r="L1373" s="15" t="s">
        <v>28</v>
      </c>
      <c r="M1373" s="15" t="s">
        <v>33</v>
      </c>
      <c r="N1373" s="17" t="s">
        <v>682</v>
      </c>
      <c r="O1373" s="15"/>
      <c r="P1373" s="15"/>
      <c r="Q1373" s="21"/>
      <c r="R1373" s="21"/>
      <c r="S1373" s="21"/>
      <c r="T1373" s="28"/>
      <c r="U1373" s="34"/>
    </row>
    <row r="1374" s="25" customFormat="true" ht="41.4" hidden="false" customHeight="false" outlineLevel="0" collapsed="false">
      <c r="A1374" s="12" t="s">
        <v>3072</v>
      </c>
      <c r="B1374" s="26" t="s">
        <v>3073</v>
      </c>
      <c r="C1374" s="14" t="s">
        <v>296</v>
      </c>
      <c r="D1374" s="15" t="n">
        <v>4</v>
      </c>
      <c r="E1374" s="27" t="n">
        <v>50</v>
      </c>
      <c r="F1374" s="16" t="n">
        <v>100</v>
      </c>
      <c r="G1374" s="15" t="s">
        <v>36</v>
      </c>
      <c r="H1374" s="17" t="s">
        <v>25</v>
      </c>
      <c r="I1374" s="18" t="s">
        <v>26</v>
      </c>
      <c r="J1374" s="15"/>
      <c r="K1374" s="19" t="s">
        <v>27</v>
      </c>
      <c r="L1374" s="15" t="s">
        <v>28</v>
      </c>
      <c r="M1374" s="15" t="s">
        <v>33</v>
      </c>
      <c r="N1374" s="17" t="s">
        <v>682</v>
      </c>
      <c r="O1374" s="15"/>
      <c r="P1374" s="15"/>
      <c r="Q1374" s="21" t="s">
        <v>78</v>
      </c>
      <c r="R1374" s="21"/>
      <c r="S1374" s="21"/>
      <c r="T1374" s="28"/>
      <c r="U1374" s="24"/>
    </row>
    <row r="1375" s="25" customFormat="true" ht="41.4" hidden="false" customHeight="false" outlineLevel="0" collapsed="false">
      <c r="A1375" s="36" t="s">
        <v>3074</v>
      </c>
      <c r="B1375" s="26" t="s">
        <v>3075</v>
      </c>
      <c r="C1375" s="14" t="s">
        <v>3076</v>
      </c>
      <c r="D1375" s="15" t="n">
        <v>4</v>
      </c>
      <c r="E1375" s="27" t="n">
        <f aca="false">F1375/2</f>
        <v>1840</v>
      </c>
      <c r="F1375" s="16" t="n">
        <v>3680</v>
      </c>
      <c r="G1375" s="15" t="s">
        <v>36</v>
      </c>
      <c r="H1375" s="17" t="s">
        <v>25</v>
      </c>
      <c r="I1375" s="18" t="s">
        <v>26</v>
      </c>
      <c r="J1375" s="15" t="n">
        <v>2020</v>
      </c>
      <c r="K1375" s="19" t="s">
        <v>27</v>
      </c>
      <c r="L1375" s="15" t="s">
        <v>28</v>
      </c>
      <c r="M1375" s="15" t="s">
        <v>33</v>
      </c>
      <c r="N1375" s="20" t="s">
        <v>682</v>
      </c>
      <c r="O1375" s="15"/>
      <c r="P1375" s="15"/>
      <c r="Q1375" s="21"/>
      <c r="R1375" s="21"/>
      <c r="S1375" s="21"/>
      <c r="T1375" s="31" t="n">
        <v>45880</v>
      </c>
      <c r="U1375" s="34"/>
    </row>
    <row r="1376" s="25" customFormat="true" ht="41.4" hidden="false" customHeight="false" outlineLevel="0" collapsed="false">
      <c r="A1376" s="36" t="s">
        <v>3077</v>
      </c>
      <c r="B1376" s="26" t="s">
        <v>3073</v>
      </c>
      <c r="C1376" s="14" t="s">
        <v>296</v>
      </c>
      <c r="D1376" s="15" t="n">
        <v>6</v>
      </c>
      <c r="E1376" s="27" t="n">
        <v>50</v>
      </c>
      <c r="F1376" s="16" t="n">
        <v>100</v>
      </c>
      <c r="G1376" s="15" t="s">
        <v>36</v>
      </c>
      <c r="H1376" s="17" t="s">
        <v>25</v>
      </c>
      <c r="I1376" s="18" t="s">
        <v>26</v>
      </c>
      <c r="J1376" s="15"/>
      <c r="K1376" s="19" t="s">
        <v>27</v>
      </c>
      <c r="L1376" s="15" t="s">
        <v>28</v>
      </c>
      <c r="M1376" s="15" t="s">
        <v>33</v>
      </c>
      <c r="N1376" s="17"/>
      <c r="O1376" s="15"/>
      <c r="P1376" s="15"/>
      <c r="Q1376" s="21" t="s">
        <v>78</v>
      </c>
      <c r="R1376" s="21"/>
      <c r="S1376" s="21"/>
      <c r="T1376" s="28"/>
      <c r="U1376" s="24"/>
      <c r="V1376" s="37"/>
      <c r="W1376" s="37"/>
    </row>
    <row r="1377" s="25" customFormat="true" ht="41.4" hidden="false" customHeight="false" outlineLevel="0" collapsed="false">
      <c r="A1377" s="36" t="s">
        <v>3078</v>
      </c>
      <c r="B1377" s="26" t="s">
        <v>3079</v>
      </c>
      <c r="C1377" s="14" t="s">
        <v>1196</v>
      </c>
      <c r="D1377" s="15" t="n">
        <v>52</v>
      </c>
      <c r="E1377" s="27" t="n">
        <f aca="false">F1377/2</f>
        <v>3514</v>
      </c>
      <c r="F1377" s="16" t="n">
        <v>7028</v>
      </c>
      <c r="G1377" s="15" t="s">
        <v>36</v>
      </c>
      <c r="H1377" s="17" t="s">
        <v>25</v>
      </c>
      <c r="I1377" s="18" t="s">
        <v>26</v>
      </c>
      <c r="J1377" s="15" t="n">
        <v>2020</v>
      </c>
      <c r="K1377" s="19" t="s">
        <v>27</v>
      </c>
      <c r="L1377" s="15" t="s">
        <v>103</v>
      </c>
      <c r="M1377" s="15" t="s">
        <v>33</v>
      </c>
      <c r="N1377" s="20"/>
      <c r="O1377" s="15"/>
      <c r="P1377" s="15"/>
      <c r="Q1377" s="21" t="s">
        <v>78</v>
      </c>
      <c r="R1377" s="21"/>
      <c r="S1377" s="21"/>
      <c r="T1377" s="31" t="n">
        <v>45846</v>
      </c>
      <c r="U1377" s="34"/>
    </row>
    <row r="1378" s="25" customFormat="true" ht="41.4" hidden="false" customHeight="false" outlineLevel="0" collapsed="false">
      <c r="A1378" s="36" t="s">
        <v>3080</v>
      </c>
      <c r="B1378" s="26" t="s">
        <v>3081</v>
      </c>
      <c r="C1378" s="14"/>
      <c r="D1378" s="15" t="n">
        <v>4</v>
      </c>
      <c r="E1378" s="27" t="n">
        <f aca="false">F1378/2</f>
        <v>100</v>
      </c>
      <c r="F1378" s="16" t="n">
        <f aca="false">4*50</f>
        <v>200</v>
      </c>
      <c r="G1378" s="15" t="s">
        <v>354</v>
      </c>
      <c r="H1378" s="17" t="s">
        <v>25</v>
      </c>
      <c r="I1378" s="18" t="s">
        <v>26</v>
      </c>
      <c r="J1378" s="15" t="n">
        <v>2012</v>
      </c>
      <c r="K1378" s="19" t="s">
        <v>52</v>
      </c>
      <c r="L1378" s="15" t="s">
        <v>28</v>
      </c>
      <c r="M1378" s="15" t="s">
        <v>33</v>
      </c>
      <c r="N1378" s="17" t="s">
        <v>45</v>
      </c>
      <c r="O1378" s="15"/>
      <c r="P1378" s="15"/>
      <c r="Q1378" s="21" t="s">
        <v>1972</v>
      </c>
      <c r="R1378" s="21"/>
      <c r="S1378" s="21"/>
      <c r="T1378" s="28"/>
      <c r="U1378" s="24"/>
    </row>
    <row r="1379" s="25" customFormat="true" ht="55.2" hidden="false" customHeight="false" outlineLevel="0" collapsed="false">
      <c r="A1379" s="36" t="s">
        <v>3082</v>
      </c>
      <c r="B1379" s="26" t="s">
        <v>3083</v>
      </c>
      <c r="C1379" s="14" t="s">
        <v>3084</v>
      </c>
      <c r="D1379" s="15" t="n">
        <v>4</v>
      </c>
      <c r="E1379" s="27" t="n">
        <f aca="false">F1379/2</f>
        <v>50</v>
      </c>
      <c r="F1379" s="16" t="n">
        <v>100</v>
      </c>
      <c r="G1379" s="15" t="s">
        <v>36</v>
      </c>
      <c r="H1379" s="17" t="s">
        <v>25</v>
      </c>
      <c r="I1379" s="18" t="s">
        <v>26</v>
      </c>
      <c r="J1379" s="15" t="n">
        <v>2016</v>
      </c>
      <c r="K1379" s="19" t="s">
        <v>27</v>
      </c>
      <c r="L1379" s="15" t="s">
        <v>28</v>
      </c>
      <c r="M1379" s="15" t="s">
        <v>33</v>
      </c>
      <c r="N1379" s="17" t="s">
        <v>83</v>
      </c>
      <c r="O1379" s="15"/>
      <c r="P1379" s="15"/>
      <c r="Q1379" s="21" t="s">
        <v>302</v>
      </c>
      <c r="R1379" s="21"/>
      <c r="S1379" s="21"/>
      <c r="T1379" s="28"/>
      <c r="U1379" s="24"/>
    </row>
    <row r="1380" s="25" customFormat="true" ht="41.4" hidden="false" customHeight="false" outlineLevel="0" collapsed="false">
      <c r="A1380" s="36" t="s">
        <v>3085</v>
      </c>
      <c r="B1380" s="26" t="s">
        <v>3086</v>
      </c>
      <c r="C1380" s="14" t="s">
        <v>3087</v>
      </c>
      <c r="D1380" s="15" t="n">
        <v>304</v>
      </c>
      <c r="E1380" s="27" t="n">
        <f aca="false">F1380/2</f>
        <v>2400</v>
      </c>
      <c r="F1380" s="16" t="n">
        <v>4800</v>
      </c>
      <c r="G1380" s="15" t="s">
        <v>36</v>
      </c>
      <c r="H1380" s="17" t="s">
        <v>25</v>
      </c>
      <c r="I1380" s="18" t="s">
        <v>26</v>
      </c>
      <c r="J1380" s="15" t="n">
        <v>2018</v>
      </c>
      <c r="K1380" s="19" t="s">
        <v>27</v>
      </c>
      <c r="L1380" s="15" t="s">
        <v>28</v>
      </c>
      <c r="M1380" s="15" t="s">
        <v>33</v>
      </c>
      <c r="N1380" s="17" t="s">
        <v>343</v>
      </c>
      <c r="O1380" s="15"/>
      <c r="P1380" s="15"/>
      <c r="Q1380" s="21" t="s">
        <v>344</v>
      </c>
      <c r="R1380" s="21"/>
      <c r="S1380" s="21"/>
      <c r="T1380" s="28"/>
      <c r="U1380" s="24"/>
    </row>
    <row r="1381" s="25" customFormat="true" ht="41.4" hidden="false" customHeight="false" outlineLevel="0" collapsed="false">
      <c r="A1381" s="63" t="s">
        <v>3088</v>
      </c>
      <c r="B1381" s="26" t="s">
        <v>3089</v>
      </c>
      <c r="C1381" s="14" t="s">
        <v>264</v>
      </c>
      <c r="D1381" s="30" t="n">
        <v>12</v>
      </c>
      <c r="E1381" s="16" t="n">
        <f aca="false">F1381/2</f>
        <v>40711.68</v>
      </c>
      <c r="F1381" s="16" t="n">
        <f aca="false">87552*0.93</f>
        <v>81423.36</v>
      </c>
      <c r="G1381" s="15" t="s">
        <v>36</v>
      </c>
      <c r="H1381" s="17" t="s">
        <v>25</v>
      </c>
      <c r="I1381" s="18" t="s">
        <v>26</v>
      </c>
      <c r="J1381" s="15" t="n">
        <v>2024</v>
      </c>
      <c r="K1381" s="19" t="s">
        <v>27</v>
      </c>
      <c r="L1381" s="15" t="s">
        <v>28</v>
      </c>
      <c r="M1381" s="15" t="s">
        <v>33</v>
      </c>
      <c r="N1381" s="17" t="s">
        <v>83</v>
      </c>
      <c r="O1381" s="60"/>
      <c r="P1381" s="60"/>
      <c r="Q1381" s="21"/>
      <c r="R1381" s="21"/>
      <c r="S1381" s="40"/>
      <c r="T1381" s="31" t="n">
        <v>45880</v>
      </c>
      <c r="U1381" s="41"/>
    </row>
    <row r="1382" s="25" customFormat="true" ht="41.4" hidden="false" customHeight="false" outlineLevel="0" collapsed="false">
      <c r="A1382" s="36" t="s">
        <v>3090</v>
      </c>
      <c r="B1382" s="26" t="s">
        <v>3091</v>
      </c>
      <c r="C1382" s="14" t="s">
        <v>1776</v>
      </c>
      <c r="D1382" s="15" t="n">
        <v>12</v>
      </c>
      <c r="E1382" s="27" t="n">
        <f aca="false">F1382/2</f>
        <v>37980</v>
      </c>
      <c r="F1382" s="16" t="n">
        <f aca="false">CEILING(63300*1.2,1)</f>
        <v>75960</v>
      </c>
      <c r="G1382" s="15" t="s">
        <v>36</v>
      </c>
      <c r="H1382" s="17" t="s">
        <v>25</v>
      </c>
      <c r="I1382" s="18" t="s">
        <v>26</v>
      </c>
      <c r="J1382" s="15" t="n">
        <v>2020</v>
      </c>
      <c r="K1382" s="19" t="s">
        <v>27</v>
      </c>
      <c r="L1382" s="15" t="s">
        <v>28</v>
      </c>
      <c r="M1382" s="15" t="s">
        <v>33</v>
      </c>
      <c r="N1382" s="20" t="s">
        <v>809</v>
      </c>
      <c r="O1382" s="15"/>
      <c r="P1382" s="15"/>
      <c r="Q1382" s="21"/>
      <c r="R1382" s="21"/>
      <c r="S1382" s="21"/>
      <c r="T1382" s="31" t="n">
        <v>45919</v>
      </c>
      <c r="U1382" s="34"/>
    </row>
    <row r="1383" s="25" customFormat="true" ht="41.4" hidden="false" customHeight="false" outlineLevel="0" collapsed="false">
      <c r="A1383" s="36" t="s">
        <v>3092</v>
      </c>
      <c r="B1383" s="26" t="s">
        <v>2715</v>
      </c>
      <c r="C1383" s="14" t="s">
        <v>1776</v>
      </c>
      <c r="D1383" s="15" t="n">
        <v>12</v>
      </c>
      <c r="E1383" s="27" t="n">
        <f aca="false">F1383/2</f>
        <v>39960</v>
      </c>
      <c r="F1383" s="16" t="n">
        <f aca="false">CEILING(66600*1.2,1)</f>
        <v>79920</v>
      </c>
      <c r="G1383" s="15" t="s">
        <v>36</v>
      </c>
      <c r="H1383" s="17" t="s">
        <v>25</v>
      </c>
      <c r="I1383" s="18" t="s">
        <v>26</v>
      </c>
      <c r="J1383" s="15" t="n">
        <v>2020</v>
      </c>
      <c r="K1383" s="19" t="s">
        <v>27</v>
      </c>
      <c r="L1383" s="15" t="s">
        <v>28</v>
      </c>
      <c r="M1383" s="15" t="s">
        <v>33</v>
      </c>
      <c r="N1383" s="20" t="s">
        <v>53</v>
      </c>
      <c r="O1383" s="15"/>
      <c r="P1383" s="15"/>
      <c r="Q1383" s="21"/>
      <c r="R1383" s="21"/>
      <c r="S1383" s="21"/>
      <c r="T1383" s="31" t="n">
        <v>45919</v>
      </c>
      <c r="U1383" s="34"/>
    </row>
    <row r="1384" s="25" customFormat="true" ht="41.4" hidden="false" customHeight="false" outlineLevel="0" collapsed="false">
      <c r="A1384" s="36" t="s">
        <v>3093</v>
      </c>
      <c r="B1384" s="26"/>
      <c r="C1384" s="14" t="s">
        <v>625</v>
      </c>
      <c r="D1384" s="15" t="n">
        <v>12</v>
      </c>
      <c r="E1384" s="27" t="n">
        <v>57915</v>
      </c>
      <c r="F1384" s="16" t="n">
        <f aca="false">E1384*2</f>
        <v>115830</v>
      </c>
      <c r="G1384" s="15" t="s">
        <v>36</v>
      </c>
      <c r="H1384" s="17" t="s">
        <v>25</v>
      </c>
      <c r="I1384" s="18" t="s">
        <v>26</v>
      </c>
      <c r="J1384" s="15" t="n">
        <v>2023</v>
      </c>
      <c r="K1384" s="19" t="s">
        <v>27</v>
      </c>
      <c r="L1384" s="15" t="s">
        <v>28</v>
      </c>
      <c r="M1384" s="15" t="s">
        <v>33</v>
      </c>
      <c r="N1384" s="20"/>
      <c r="O1384" s="15"/>
      <c r="P1384" s="15"/>
      <c r="Q1384" s="21"/>
      <c r="R1384" s="21"/>
      <c r="S1384" s="21"/>
      <c r="T1384" s="31" t="n">
        <v>45893</v>
      </c>
      <c r="U1384" s="34"/>
      <c r="V1384" s="37"/>
      <c r="W1384" s="37"/>
    </row>
    <row r="1385" s="25" customFormat="true" ht="41.4" hidden="false" customHeight="false" outlineLevel="0" collapsed="false">
      <c r="A1385" s="36" t="s">
        <v>3094</v>
      </c>
      <c r="B1385" s="26" t="s">
        <v>3095</v>
      </c>
      <c r="C1385" s="14" t="s">
        <v>296</v>
      </c>
      <c r="D1385" s="15" t="n">
        <v>6</v>
      </c>
      <c r="E1385" s="27" t="n">
        <v>50</v>
      </c>
      <c r="F1385" s="16" t="n">
        <v>100</v>
      </c>
      <c r="G1385" s="15" t="s">
        <v>36</v>
      </c>
      <c r="H1385" s="17" t="s">
        <v>25</v>
      </c>
      <c r="I1385" s="18" t="s">
        <v>26</v>
      </c>
      <c r="J1385" s="15"/>
      <c r="K1385" s="19" t="s">
        <v>27</v>
      </c>
      <c r="L1385" s="15" t="s">
        <v>28</v>
      </c>
      <c r="M1385" s="15" t="s">
        <v>33</v>
      </c>
      <c r="N1385" s="17"/>
      <c r="O1385" s="15"/>
      <c r="P1385" s="15"/>
      <c r="Q1385" s="21" t="s">
        <v>78</v>
      </c>
      <c r="R1385" s="21"/>
      <c r="S1385" s="21"/>
      <c r="T1385" s="28"/>
      <c r="U1385" s="24"/>
    </row>
    <row r="1386" s="25" customFormat="true" ht="41.4" hidden="false" customHeight="false" outlineLevel="0" collapsed="false">
      <c r="A1386" s="36" t="s">
        <v>3096</v>
      </c>
      <c r="B1386" s="26" t="s">
        <v>3097</v>
      </c>
      <c r="C1386" s="14" t="s">
        <v>1070</v>
      </c>
      <c r="D1386" s="15" t="n">
        <v>4</v>
      </c>
      <c r="E1386" s="27" t="n">
        <f aca="false">F1386/2</f>
        <v>2869</v>
      </c>
      <c r="F1386" s="16" t="n">
        <v>5738</v>
      </c>
      <c r="G1386" s="15" t="s">
        <v>36</v>
      </c>
      <c r="H1386" s="17" t="s">
        <v>25</v>
      </c>
      <c r="I1386" s="18" t="s">
        <v>26</v>
      </c>
      <c r="J1386" s="15" t="n">
        <v>2020</v>
      </c>
      <c r="K1386" s="19" t="s">
        <v>27</v>
      </c>
      <c r="L1386" s="15" t="s">
        <v>28</v>
      </c>
      <c r="M1386" s="15" t="s">
        <v>33</v>
      </c>
      <c r="N1386" s="20" t="s">
        <v>175</v>
      </c>
      <c r="O1386" s="61"/>
      <c r="P1386" s="15"/>
      <c r="Q1386" s="21"/>
      <c r="R1386" s="21"/>
      <c r="S1386" s="21"/>
      <c r="T1386" s="31" t="n">
        <v>45909</v>
      </c>
      <c r="U1386" s="34"/>
    </row>
    <row r="1387" s="25" customFormat="true" ht="41.4" hidden="false" customHeight="false" outlineLevel="0" collapsed="false">
      <c r="A1387" s="36" t="s">
        <v>3098</v>
      </c>
      <c r="B1387" s="26" t="s">
        <v>3099</v>
      </c>
      <c r="C1387" s="14" t="s">
        <v>76</v>
      </c>
      <c r="D1387" s="15" t="n">
        <v>12</v>
      </c>
      <c r="E1387" s="27" t="n">
        <f aca="false">F1387/2</f>
        <v>34965</v>
      </c>
      <c r="F1387" s="16" t="n">
        <f aca="false">93240*0.75</f>
        <v>69930</v>
      </c>
      <c r="G1387" s="15" t="s">
        <v>36</v>
      </c>
      <c r="H1387" s="17" t="s">
        <v>25</v>
      </c>
      <c r="I1387" s="18" t="s">
        <v>26</v>
      </c>
      <c r="J1387" s="15" t="n">
        <v>2014</v>
      </c>
      <c r="K1387" s="19" t="s">
        <v>27</v>
      </c>
      <c r="L1387" s="15" t="s">
        <v>28</v>
      </c>
      <c r="M1387" s="15" t="s">
        <v>33</v>
      </c>
      <c r="N1387" s="17" t="s">
        <v>77</v>
      </c>
      <c r="O1387" s="15"/>
      <c r="P1387" s="15"/>
      <c r="Q1387" s="21" t="s">
        <v>78</v>
      </c>
      <c r="R1387" s="21" t="s">
        <v>79</v>
      </c>
      <c r="S1387" s="21"/>
      <c r="T1387" s="31" t="n">
        <v>45852</v>
      </c>
      <c r="U1387" s="24"/>
    </row>
    <row r="1388" s="25" customFormat="true" ht="41.4" hidden="false" customHeight="false" outlineLevel="0" collapsed="false">
      <c r="A1388" s="36" t="s">
        <v>3100</v>
      </c>
      <c r="B1388" s="26" t="s">
        <v>3101</v>
      </c>
      <c r="C1388" s="14" t="s">
        <v>401</v>
      </c>
      <c r="D1388" s="15" t="n">
        <v>6</v>
      </c>
      <c r="E1388" s="27" t="n">
        <f aca="false">F1388/2</f>
        <v>3900</v>
      </c>
      <c r="F1388" s="16" t="n">
        <v>7800</v>
      </c>
      <c r="G1388" s="15" t="s">
        <v>36</v>
      </c>
      <c r="H1388" s="17" t="s">
        <v>25</v>
      </c>
      <c r="I1388" s="18" t="s">
        <v>26</v>
      </c>
      <c r="J1388" s="15" t="n">
        <v>2018</v>
      </c>
      <c r="K1388" s="19" t="s">
        <v>27</v>
      </c>
      <c r="L1388" s="15" t="s">
        <v>28</v>
      </c>
      <c r="M1388" s="15" t="s">
        <v>33</v>
      </c>
      <c r="N1388" s="17" t="s">
        <v>45</v>
      </c>
      <c r="O1388" s="15"/>
      <c r="P1388" s="15"/>
      <c r="Q1388" s="21" t="s">
        <v>78</v>
      </c>
      <c r="R1388" s="21"/>
      <c r="S1388" s="21"/>
      <c r="T1388" s="28"/>
      <c r="U1388" s="24"/>
    </row>
    <row r="1389" s="25" customFormat="true" ht="41.4" hidden="false" customHeight="false" outlineLevel="0" collapsed="false">
      <c r="A1389" s="36" t="s">
        <v>3102</v>
      </c>
      <c r="B1389" s="26" t="s">
        <v>3103</v>
      </c>
      <c r="C1389" s="14" t="s">
        <v>122</v>
      </c>
      <c r="D1389" s="15" t="n">
        <v>12</v>
      </c>
      <c r="E1389" s="27" t="n">
        <v>23628</v>
      </c>
      <c r="F1389" s="16" t="n">
        <v>39204</v>
      </c>
      <c r="G1389" s="15" t="s">
        <v>36</v>
      </c>
      <c r="H1389" s="17" t="s">
        <v>25</v>
      </c>
      <c r="I1389" s="18" t="s">
        <v>26</v>
      </c>
      <c r="J1389" s="15" t="n">
        <v>2017</v>
      </c>
      <c r="K1389" s="19" t="s">
        <v>27</v>
      </c>
      <c r="L1389" s="15" t="s">
        <v>28</v>
      </c>
      <c r="M1389" s="15" t="s">
        <v>33</v>
      </c>
      <c r="N1389" s="17"/>
      <c r="O1389" s="15"/>
      <c r="P1389" s="15"/>
      <c r="Q1389" s="21"/>
      <c r="R1389" s="21"/>
      <c r="S1389" s="21"/>
      <c r="T1389" s="28"/>
      <c r="U1389" s="24"/>
    </row>
    <row r="1390" s="25" customFormat="true" ht="41.4" hidden="false" customHeight="false" outlineLevel="0" collapsed="false">
      <c r="A1390" s="36" t="s">
        <v>3104</v>
      </c>
      <c r="B1390" s="26" t="s">
        <v>3105</v>
      </c>
      <c r="C1390" s="14"/>
      <c r="D1390" s="15" t="n">
        <v>4</v>
      </c>
      <c r="E1390" s="27" t="n">
        <f aca="false">F1390/2</f>
        <v>3784</v>
      </c>
      <c r="F1390" s="16" t="n">
        <v>7568</v>
      </c>
      <c r="G1390" s="15" t="s">
        <v>36</v>
      </c>
      <c r="H1390" s="17" t="s">
        <v>25</v>
      </c>
      <c r="I1390" s="18" t="s">
        <v>26</v>
      </c>
      <c r="J1390" s="15" t="n">
        <v>2019</v>
      </c>
      <c r="K1390" s="19"/>
      <c r="L1390" s="15"/>
      <c r="M1390" s="15"/>
      <c r="N1390" s="17"/>
      <c r="O1390" s="15"/>
      <c r="P1390" s="15"/>
      <c r="Q1390" s="21"/>
      <c r="R1390" s="21"/>
      <c r="S1390" s="21"/>
      <c r="T1390" s="28"/>
      <c r="U1390" s="24"/>
    </row>
    <row r="1391" s="25" customFormat="true" ht="41.4" hidden="false" customHeight="false" outlineLevel="0" collapsed="false">
      <c r="A1391" s="36" t="s">
        <v>3106</v>
      </c>
      <c r="B1391" s="26" t="s">
        <v>3107</v>
      </c>
      <c r="C1391" s="14" t="s">
        <v>561</v>
      </c>
      <c r="D1391" s="15" t="n">
        <v>8</v>
      </c>
      <c r="E1391" s="27" t="n">
        <f aca="false">F1391/2</f>
        <v>2592</v>
      </c>
      <c r="F1391" s="16" t="n">
        <f aca="false">4320*1.2</f>
        <v>5184</v>
      </c>
      <c r="G1391" s="15" t="s">
        <v>36</v>
      </c>
      <c r="H1391" s="17" t="s">
        <v>25</v>
      </c>
      <c r="I1391" s="18" t="s">
        <v>26</v>
      </c>
      <c r="J1391" s="15" t="n">
        <v>2021</v>
      </c>
      <c r="K1391" s="19" t="s">
        <v>27</v>
      </c>
      <c r="L1391" s="15" t="s">
        <v>28</v>
      </c>
      <c r="M1391" s="15" t="s">
        <v>33</v>
      </c>
      <c r="N1391" s="20" t="s">
        <v>83</v>
      </c>
      <c r="O1391" s="15"/>
      <c r="P1391" s="15"/>
      <c r="Q1391" s="21"/>
      <c r="R1391" s="21"/>
      <c r="S1391" s="21"/>
      <c r="T1391" s="28"/>
      <c r="U1391" s="34"/>
    </row>
    <row r="1392" s="25" customFormat="true" ht="41.4" hidden="false" customHeight="false" outlineLevel="0" collapsed="false">
      <c r="A1392" s="36" t="s">
        <v>3108</v>
      </c>
      <c r="B1392" s="26"/>
      <c r="C1392" s="14" t="s">
        <v>625</v>
      </c>
      <c r="D1392" s="15" t="n">
        <v>12</v>
      </c>
      <c r="E1392" s="27" t="n">
        <v>39897</v>
      </c>
      <c r="F1392" s="16" t="n">
        <f aca="false">E1392*2</f>
        <v>79794</v>
      </c>
      <c r="G1392" s="15" t="s">
        <v>36</v>
      </c>
      <c r="H1392" s="17" t="s">
        <v>25</v>
      </c>
      <c r="I1392" s="18" t="s">
        <v>26</v>
      </c>
      <c r="J1392" s="15" t="n">
        <v>2023</v>
      </c>
      <c r="K1392" s="19" t="s">
        <v>27</v>
      </c>
      <c r="L1392" s="15" t="s">
        <v>28</v>
      </c>
      <c r="M1392" s="15" t="s">
        <v>33</v>
      </c>
      <c r="N1392" s="20"/>
      <c r="O1392" s="15"/>
      <c r="P1392" s="15"/>
      <c r="Q1392" s="21"/>
      <c r="R1392" s="21"/>
      <c r="S1392" s="21"/>
      <c r="T1392" s="31" t="n">
        <v>45893</v>
      </c>
      <c r="U1392" s="34"/>
    </row>
    <row r="1393" s="25" customFormat="true" ht="41.4" hidden="false" customHeight="false" outlineLevel="0" collapsed="false">
      <c r="A1393" s="36" t="s">
        <v>3109</v>
      </c>
      <c r="B1393" s="26"/>
      <c r="C1393" s="14" t="s">
        <v>3110</v>
      </c>
      <c r="D1393" s="15" t="n">
        <v>4</v>
      </c>
      <c r="E1393" s="16" t="n">
        <f aca="false">F1393/2</f>
        <v>7200</v>
      </c>
      <c r="F1393" s="16" t="n">
        <f aca="false">12000*1.2</f>
        <v>14400</v>
      </c>
      <c r="G1393" s="15" t="s">
        <v>36</v>
      </c>
      <c r="H1393" s="17" t="s">
        <v>25</v>
      </c>
      <c r="I1393" s="18" t="s">
        <v>26</v>
      </c>
      <c r="J1393" s="15" t="n">
        <v>2025</v>
      </c>
      <c r="K1393" s="19" t="s">
        <v>27</v>
      </c>
      <c r="L1393" s="15" t="s">
        <v>28</v>
      </c>
      <c r="M1393" s="15" t="s">
        <v>33</v>
      </c>
      <c r="N1393" s="17"/>
      <c r="O1393" s="15"/>
      <c r="P1393" s="15"/>
      <c r="Q1393" s="21"/>
      <c r="R1393" s="21"/>
      <c r="S1393" s="21" t="s">
        <v>113</v>
      </c>
      <c r="T1393" s="31" t="n">
        <v>45880</v>
      </c>
      <c r="U1393" s="24" t="s">
        <v>3111</v>
      </c>
    </row>
    <row r="1394" s="25" customFormat="true" ht="41.4" hidden="false" customHeight="false" outlineLevel="0" collapsed="false">
      <c r="A1394" s="36" t="s">
        <v>3112</v>
      </c>
      <c r="B1394" s="26"/>
      <c r="C1394" s="14" t="s">
        <v>3113</v>
      </c>
      <c r="D1394" s="15" t="n">
        <v>12</v>
      </c>
      <c r="E1394" s="16" t="n">
        <f aca="false">F1394/2</f>
        <v>60000</v>
      </c>
      <c r="F1394" s="16" t="n">
        <f aca="false">100000*1.2</f>
        <v>120000</v>
      </c>
      <c r="G1394" s="15" t="s">
        <v>36</v>
      </c>
      <c r="H1394" s="17" t="s">
        <v>25</v>
      </c>
      <c r="I1394" s="18" t="s">
        <v>26</v>
      </c>
      <c r="J1394" s="15" t="n">
        <v>2024</v>
      </c>
      <c r="K1394" s="19" t="s">
        <v>27</v>
      </c>
      <c r="L1394" s="15" t="s">
        <v>28</v>
      </c>
      <c r="M1394" s="15" t="s">
        <v>33</v>
      </c>
      <c r="N1394" s="17"/>
      <c r="O1394" s="15"/>
      <c r="P1394" s="15"/>
      <c r="Q1394" s="21"/>
      <c r="R1394" s="21"/>
      <c r="S1394" s="21"/>
      <c r="T1394" s="28"/>
      <c r="U1394" s="34"/>
    </row>
    <row r="1395" s="25" customFormat="true" ht="41.4" hidden="false" customHeight="false" outlineLevel="0" collapsed="false">
      <c r="A1395" s="36" t="s">
        <v>3114</v>
      </c>
      <c r="B1395" s="26" t="s">
        <v>3115</v>
      </c>
      <c r="C1395" s="14" t="s">
        <v>148</v>
      </c>
      <c r="D1395" s="15" t="n">
        <v>6</v>
      </c>
      <c r="E1395" s="27" t="n">
        <f aca="false">F1395/2</f>
        <v>2574</v>
      </c>
      <c r="F1395" s="35" t="n">
        <f aca="false">FLOOR(4290*1.2,1)</f>
        <v>5148</v>
      </c>
      <c r="G1395" s="15" t="s">
        <v>36</v>
      </c>
      <c r="H1395" s="17" t="s">
        <v>25</v>
      </c>
      <c r="I1395" s="18" t="s">
        <v>26</v>
      </c>
      <c r="J1395" s="15" t="n">
        <v>2020</v>
      </c>
      <c r="K1395" s="19" t="s">
        <v>27</v>
      </c>
      <c r="L1395" s="15" t="s">
        <v>28</v>
      </c>
      <c r="M1395" s="15" t="s">
        <v>33</v>
      </c>
      <c r="N1395" s="17" t="s">
        <v>83</v>
      </c>
      <c r="O1395" s="15"/>
      <c r="P1395" s="15"/>
      <c r="Q1395" s="21"/>
      <c r="R1395" s="21"/>
      <c r="S1395" s="21"/>
      <c r="T1395" s="31" t="n">
        <v>45882</v>
      </c>
      <c r="U1395" s="34"/>
    </row>
    <row r="1396" s="25" customFormat="true" ht="45.6" hidden="false" customHeight="false" outlineLevel="0" collapsed="false">
      <c r="A1396" s="36" t="s">
        <v>3116</v>
      </c>
      <c r="B1396" s="26" t="s">
        <v>3117</v>
      </c>
      <c r="C1396" s="14"/>
      <c r="D1396" s="15" t="n">
        <v>156</v>
      </c>
      <c r="E1396" s="27" t="n">
        <v>1050</v>
      </c>
      <c r="F1396" s="16" t="n">
        <v>2100</v>
      </c>
      <c r="G1396" s="15" t="s">
        <v>354</v>
      </c>
      <c r="H1396" s="17" t="s">
        <v>25</v>
      </c>
      <c r="I1396" s="18" t="s">
        <v>26</v>
      </c>
      <c r="J1396" s="15" t="n">
        <v>1999</v>
      </c>
      <c r="K1396" s="19" t="s">
        <v>3118</v>
      </c>
      <c r="L1396" s="15" t="s">
        <v>103</v>
      </c>
      <c r="M1396" s="15" t="s">
        <v>33</v>
      </c>
      <c r="N1396" s="17" t="s">
        <v>40</v>
      </c>
      <c r="O1396" s="15"/>
      <c r="P1396" s="15"/>
      <c r="Q1396" s="21" t="s">
        <v>41</v>
      </c>
      <c r="R1396" s="21"/>
      <c r="S1396" s="21"/>
      <c r="T1396" s="28"/>
      <c r="U1396" s="24" t="s">
        <v>3119</v>
      </c>
      <c r="V1396" s="37"/>
      <c r="W1396" s="37"/>
    </row>
    <row r="1397" s="25" customFormat="true" ht="41.4" hidden="false" customHeight="false" outlineLevel="0" collapsed="false">
      <c r="A1397" s="36" t="s">
        <v>3120</v>
      </c>
      <c r="B1397" s="26"/>
      <c r="C1397" s="14" t="s">
        <v>107</v>
      </c>
      <c r="D1397" s="15" t="n">
        <v>4</v>
      </c>
      <c r="E1397" s="27" t="n">
        <f aca="false">F1397/2</f>
        <v>857.5</v>
      </c>
      <c r="F1397" s="16" t="n">
        <v>1715</v>
      </c>
      <c r="G1397" s="15" t="s">
        <v>36</v>
      </c>
      <c r="H1397" s="17" t="s">
        <v>25</v>
      </c>
      <c r="I1397" s="18" t="s">
        <v>26</v>
      </c>
      <c r="J1397" s="15" t="n">
        <v>2025</v>
      </c>
      <c r="K1397" s="19" t="s">
        <v>108</v>
      </c>
      <c r="L1397" s="15" t="s">
        <v>28</v>
      </c>
      <c r="M1397" s="15" t="s">
        <v>33</v>
      </c>
      <c r="N1397" s="17"/>
      <c r="O1397" s="15"/>
      <c r="P1397" s="15"/>
      <c r="Q1397" s="21"/>
      <c r="R1397" s="21"/>
      <c r="S1397" s="21"/>
      <c r="T1397" s="31" t="n">
        <v>45884</v>
      </c>
      <c r="U1397" s="24"/>
    </row>
    <row r="1398" s="25" customFormat="true" ht="41.4" hidden="false" customHeight="false" outlineLevel="0" collapsed="false">
      <c r="A1398" s="36" t="s">
        <v>3121</v>
      </c>
      <c r="B1398" s="26" t="s">
        <v>3122</v>
      </c>
      <c r="C1398" s="14"/>
      <c r="D1398" s="15" t="n">
        <v>4</v>
      </c>
      <c r="E1398" s="27" t="n">
        <f aca="false">F1398/2</f>
        <v>750</v>
      </c>
      <c r="F1398" s="16" t="n">
        <v>1500</v>
      </c>
      <c r="G1398" s="15" t="s">
        <v>36</v>
      </c>
      <c r="H1398" s="17" t="s">
        <v>25</v>
      </c>
      <c r="I1398" s="18" t="s">
        <v>26</v>
      </c>
      <c r="J1398" s="15"/>
      <c r="K1398" s="19"/>
      <c r="L1398" s="15"/>
      <c r="M1398" s="15"/>
      <c r="N1398" s="15" t="s">
        <v>1019</v>
      </c>
      <c r="O1398" s="15"/>
      <c r="P1398" s="15"/>
      <c r="Q1398" s="21"/>
      <c r="R1398" s="21"/>
      <c r="S1398" s="21"/>
      <c r="T1398" s="28"/>
      <c r="U1398" s="24"/>
      <c r="V1398" s="37"/>
      <c r="W1398" s="37"/>
    </row>
    <row r="1399" s="25" customFormat="true" ht="41.4" hidden="false" customHeight="false" outlineLevel="0" collapsed="false">
      <c r="A1399" s="36" t="s">
        <v>3123</v>
      </c>
      <c r="B1399" s="26" t="s">
        <v>3124</v>
      </c>
      <c r="C1399" s="14" t="s">
        <v>246</v>
      </c>
      <c r="D1399" s="15" t="n">
        <v>6</v>
      </c>
      <c r="E1399" s="27" t="n">
        <f aca="false">F1399/2</f>
        <v>11774</v>
      </c>
      <c r="F1399" s="38" t="n">
        <v>23548</v>
      </c>
      <c r="G1399" s="15" t="s">
        <v>36</v>
      </c>
      <c r="H1399" s="17" t="s">
        <v>25</v>
      </c>
      <c r="I1399" s="18" t="s">
        <v>26</v>
      </c>
      <c r="J1399" s="15" t="n">
        <v>2017</v>
      </c>
      <c r="K1399" s="19" t="s">
        <v>27</v>
      </c>
      <c r="L1399" s="15" t="s">
        <v>28</v>
      </c>
      <c r="M1399" s="15" t="s">
        <v>33</v>
      </c>
      <c r="N1399" s="17" t="s">
        <v>543</v>
      </c>
      <c r="O1399" s="15"/>
      <c r="P1399" s="15"/>
      <c r="Q1399" s="21" t="s">
        <v>247</v>
      </c>
      <c r="R1399" s="21"/>
      <c r="S1399" s="21"/>
      <c r="T1399" s="31" t="n">
        <v>45882</v>
      </c>
      <c r="U1399" s="24" t="s">
        <v>248</v>
      </c>
      <c r="V1399" s="37"/>
      <c r="W1399" s="37"/>
    </row>
    <row r="1400" s="25" customFormat="true" ht="41.4" hidden="false" customHeight="false" outlineLevel="0" collapsed="false">
      <c r="A1400" s="36" t="s">
        <v>3125</v>
      </c>
      <c r="B1400" s="26" t="s">
        <v>3126</v>
      </c>
      <c r="C1400" s="14" t="s">
        <v>3127</v>
      </c>
      <c r="D1400" s="15" t="n">
        <v>6</v>
      </c>
      <c r="E1400" s="27" t="n">
        <f aca="false">F1400/2</f>
        <v>4680</v>
      </c>
      <c r="F1400" s="16" t="n">
        <f aca="false">7800*1.2</f>
        <v>9360</v>
      </c>
      <c r="G1400" s="15" t="s">
        <v>36</v>
      </c>
      <c r="H1400" s="17" t="s">
        <v>25</v>
      </c>
      <c r="I1400" s="18" t="s">
        <v>26</v>
      </c>
      <c r="J1400" s="15" t="n">
        <v>2021</v>
      </c>
      <c r="K1400" s="19" t="s">
        <v>27</v>
      </c>
      <c r="L1400" s="15" t="s">
        <v>28</v>
      </c>
      <c r="M1400" s="15" t="s">
        <v>33</v>
      </c>
      <c r="N1400" s="17" t="s">
        <v>72</v>
      </c>
      <c r="O1400" s="15"/>
      <c r="P1400" s="15"/>
      <c r="Q1400" s="21"/>
      <c r="R1400" s="21"/>
      <c r="S1400" s="21"/>
      <c r="T1400" s="31" t="n">
        <v>45893</v>
      </c>
      <c r="U1400" s="34"/>
    </row>
    <row r="1401" s="25" customFormat="true" ht="41.4" hidden="false" customHeight="false" outlineLevel="0" collapsed="false">
      <c r="A1401" s="36" t="s">
        <v>3128</v>
      </c>
      <c r="B1401" s="26" t="s">
        <v>3129</v>
      </c>
      <c r="C1401" s="14" t="s">
        <v>3127</v>
      </c>
      <c r="D1401" s="15" t="n">
        <v>4</v>
      </c>
      <c r="E1401" s="27" t="n">
        <f aca="false">F1401/2</f>
        <v>2880</v>
      </c>
      <c r="F1401" s="16" t="n">
        <f aca="false">4800*1.2</f>
        <v>5760</v>
      </c>
      <c r="G1401" s="15" t="s">
        <v>36</v>
      </c>
      <c r="H1401" s="17" t="s">
        <v>25</v>
      </c>
      <c r="I1401" s="18" t="s">
        <v>26</v>
      </c>
      <c r="J1401" s="15" t="n">
        <v>2021</v>
      </c>
      <c r="K1401" s="19" t="s">
        <v>27</v>
      </c>
      <c r="L1401" s="15" t="s">
        <v>28</v>
      </c>
      <c r="M1401" s="15" t="s">
        <v>33</v>
      </c>
      <c r="N1401" s="17" t="s">
        <v>72</v>
      </c>
      <c r="O1401" s="15"/>
      <c r="P1401" s="15"/>
      <c r="Q1401" s="21"/>
      <c r="R1401" s="21"/>
      <c r="S1401" s="21"/>
      <c r="T1401" s="31" t="n">
        <v>45893</v>
      </c>
      <c r="U1401" s="34"/>
    </row>
    <row r="1402" s="25" customFormat="true" ht="41.4" hidden="false" customHeight="false" outlineLevel="0" collapsed="false">
      <c r="A1402" s="36" t="s">
        <v>3130</v>
      </c>
      <c r="B1402" s="26" t="s">
        <v>3131</v>
      </c>
      <c r="C1402" s="14" t="s">
        <v>3132</v>
      </c>
      <c r="D1402" s="15" t="n">
        <v>47</v>
      </c>
      <c r="E1402" s="27" t="n">
        <f aca="false">F1402/2</f>
        <v>1000</v>
      </c>
      <c r="F1402" s="16" t="n">
        <v>2000</v>
      </c>
      <c r="G1402" s="15" t="s">
        <v>36</v>
      </c>
      <c r="H1402" s="17" t="s">
        <v>25</v>
      </c>
      <c r="I1402" s="18" t="s">
        <v>26</v>
      </c>
      <c r="J1402" s="15" t="n">
        <v>2018</v>
      </c>
      <c r="K1402" s="19" t="s">
        <v>27</v>
      </c>
      <c r="L1402" s="15" t="s">
        <v>28</v>
      </c>
      <c r="M1402" s="15" t="s">
        <v>33</v>
      </c>
      <c r="N1402" s="17" t="s">
        <v>343</v>
      </c>
      <c r="O1402" s="15"/>
      <c r="P1402" s="15"/>
      <c r="Q1402" s="21" t="s">
        <v>344</v>
      </c>
      <c r="R1402" s="21"/>
      <c r="S1402" s="21"/>
      <c r="T1402" s="31" t="n">
        <v>45880</v>
      </c>
      <c r="U1402" s="24"/>
    </row>
    <row r="1403" s="25" customFormat="true" ht="41.4" hidden="false" customHeight="false" outlineLevel="0" collapsed="false">
      <c r="A1403" s="36" t="s">
        <v>3133</v>
      </c>
      <c r="B1403" s="26" t="s">
        <v>3134</v>
      </c>
      <c r="C1403" s="14" t="s">
        <v>1347</v>
      </c>
      <c r="D1403" s="15" t="n">
        <v>12</v>
      </c>
      <c r="E1403" s="27" t="n">
        <f aca="false">F1403/2</f>
        <v>7500</v>
      </c>
      <c r="F1403" s="16" t="n">
        <v>15000</v>
      </c>
      <c r="G1403" s="15" t="s">
        <v>36</v>
      </c>
      <c r="H1403" s="17" t="s">
        <v>25</v>
      </c>
      <c r="I1403" s="18" t="s">
        <v>26</v>
      </c>
      <c r="J1403" s="15" t="n">
        <v>2017</v>
      </c>
      <c r="K1403" s="19" t="s">
        <v>27</v>
      </c>
      <c r="L1403" s="15" t="s">
        <v>28</v>
      </c>
      <c r="M1403" s="15" t="s">
        <v>33</v>
      </c>
      <c r="N1403" s="17" t="s">
        <v>375</v>
      </c>
      <c r="O1403" s="15"/>
      <c r="P1403" s="15"/>
      <c r="Q1403" s="21" t="s">
        <v>78</v>
      </c>
      <c r="R1403" s="21"/>
      <c r="S1403" s="21"/>
      <c r="T1403" s="28"/>
      <c r="U1403" s="24"/>
    </row>
    <row r="1404" s="25" customFormat="true" ht="41.4" hidden="false" customHeight="false" outlineLevel="0" collapsed="false">
      <c r="A1404" s="36" t="s">
        <v>3135</v>
      </c>
      <c r="B1404" s="26" t="s">
        <v>3136</v>
      </c>
      <c r="C1404" s="14" t="s">
        <v>3137</v>
      </c>
      <c r="D1404" s="15" t="n">
        <v>6</v>
      </c>
      <c r="E1404" s="27" t="n">
        <f aca="false">F1404/2</f>
        <v>7320</v>
      </c>
      <c r="F1404" s="16" t="n">
        <v>14640</v>
      </c>
      <c r="G1404" s="15" t="s">
        <v>36</v>
      </c>
      <c r="H1404" s="17" t="s">
        <v>25</v>
      </c>
      <c r="I1404" s="18" t="s">
        <v>26</v>
      </c>
      <c r="J1404" s="15" t="n">
        <v>2022</v>
      </c>
      <c r="K1404" s="19" t="s">
        <v>27</v>
      </c>
      <c r="L1404" s="15" t="s">
        <v>28</v>
      </c>
      <c r="M1404" s="15" t="s">
        <v>33</v>
      </c>
      <c r="N1404" s="17"/>
      <c r="O1404" s="15"/>
      <c r="P1404" s="15"/>
      <c r="Q1404" s="21"/>
      <c r="R1404" s="21"/>
      <c r="S1404" s="21"/>
      <c r="T1404" s="28"/>
      <c r="U1404" s="24"/>
    </row>
    <row r="1405" s="25" customFormat="true" ht="41.4" hidden="false" customHeight="false" outlineLevel="0" collapsed="false">
      <c r="A1405" s="36" t="s">
        <v>3138</v>
      </c>
      <c r="B1405" s="26" t="s">
        <v>3139</v>
      </c>
      <c r="C1405" s="14" t="s">
        <v>122</v>
      </c>
      <c r="D1405" s="15" t="n">
        <v>12</v>
      </c>
      <c r="E1405" s="27" t="n">
        <v>23628</v>
      </c>
      <c r="F1405" s="16" t="n">
        <v>39204</v>
      </c>
      <c r="G1405" s="15" t="s">
        <v>36</v>
      </c>
      <c r="H1405" s="17" t="s">
        <v>25</v>
      </c>
      <c r="I1405" s="18" t="s">
        <v>26</v>
      </c>
      <c r="J1405" s="15" t="n">
        <v>2017</v>
      </c>
      <c r="K1405" s="19" t="s">
        <v>27</v>
      </c>
      <c r="L1405" s="15" t="s">
        <v>28</v>
      </c>
      <c r="M1405" s="15" t="s">
        <v>33</v>
      </c>
      <c r="N1405" s="17" t="s">
        <v>375</v>
      </c>
      <c r="O1405" s="15"/>
      <c r="P1405" s="15"/>
      <c r="Q1405" s="21"/>
      <c r="R1405" s="21"/>
      <c r="S1405" s="21"/>
      <c r="T1405" s="28"/>
      <c r="U1405" s="24"/>
    </row>
    <row r="1406" s="25" customFormat="true" ht="41.4" hidden="false" customHeight="false" outlineLevel="0" collapsed="false">
      <c r="A1406" s="36" t="s">
        <v>572</v>
      </c>
      <c r="B1406" s="26" t="s">
        <v>3140</v>
      </c>
      <c r="C1406" s="14" t="s">
        <v>401</v>
      </c>
      <c r="D1406" s="15" t="n">
        <v>4</v>
      </c>
      <c r="E1406" s="27" t="n">
        <f aca="false">F1406/2</f>
        <v>3000</v>
      </c>
      <c r="F1406" s="16" t="n">
        <v>6000</v>
      </c>
      <c r="G1406" s="15" t="s">
        <v>36</v>
      </c>
      <c r="H1406" s="17" t="s">
        <v>25</v>
      </c>
      <c r="I1406" s="18" t="s">
        <v>26</v>
      </c>
      <c r="J1406" s="15" t="n">
        <v>2018</v>
      </c>
      <c r="K1406" s="19" t="s">
        <v>27</v>
      </c>
      <c r="L1406" s="15" t="s">
        <v>28</v>
      </c>
      <c r="M1406" s="15" t="s">
        <v>33</v>
      </c>
      <c r="N1406" s="17" t="s">
        <v>375</v>
      </c>
      <c r="O1406" s="15"/>
      <c r="P1406" s="15"/>
      <c r="Q1406" s="21" t="s">
        <v>78</v>
      </c>
      <c r="R1406" s="21"/>
      <c r="S1406" s="21"/>
      <c r="T1406" s="28"/>
      <c r="U1406" s="24"/>
    </row>
    <row r="1407" s="25" customFormat="true" ht="41.4" hidden="false" customHeight="false" outlineLevel="0" collapsed="false">
      <c r="A1407" s="36" t="s">
        <v>3141</v>
      </c>
      <c r="B1407" s="26"/>
      <c r="C1407" s="14" t="s">
        <v>1724</v>
      </c>
      <c r="D1407" s="15" t="n">
        <v>6</v>
      </c>
      <c r="E1407" s="16" t="n">
        <f aca="false">F1407/2</f>
        <v>1183.5</v>
      </c>
      <c r="F1407" s="16" t="n">
        <f aca="false">CEILING(1972*1.2,1)</f>
        <v>2367</v>
      </c>
      <c r="G1407" s="15" t="s">
        <v>36</v>
      </c>
      <c r="H1407" s="17" t="s">
        <v>25</v>
      </c>
      <c r="I1407" s="18" t="s">
        <v>26</v>
      </c>
      <c r="J1407" s="15" t="n">
        <v>2024</v>
      </c>
      <c r="K1407" s="19" t="s">
        <v>1725</v>
      </c>
      <c r="L1407" s="15" t="s">
        <v>28</v>
      </c>
      <c r="M1407" s="15" t="s">
        <v>33</v>
      </c>
      <c r="N1407" s="17"/>
      <c r="O1407" s="15"/>
      <c r="P1407" s="15"/>
      <c r="Q1407" s="21"/>
      <c r="R1407" s="21"/>
      <c r="S1407" s="21"/>
      <c r="T1407" s="28"/>
      <c r="U1407" s="24"/>
    </row>
    <row r="1408" s="25" customFormat="true" ht="41.4" hidden="false" customHeight="false" outlineLevel="0" collapsed="false">
      <c r="A1408" s="36" t="s">
        <v>3142</v>
      </c>
      <c r="B1408" s="26" t="s">
        <v>3143</v>
      </c>
      <c r="C1408" s="14" t="s">
        <v>239</v>
      </c>
      <c r="D1408" s="15" t="n">
        <v>12</v>
      </c>
      <c r="E1408" s="27" t="n">
        <f aca="false">F1408/2</f>
        <v>14940</v>
      </c>
      <c r="F1408" s="16" t="n">
        <f aca="false">12*2490</f>
        <v>29880</v>
      </c>
      <c r="G1408" s="15" t="s">
        <v>36</v>
      </c>
      <c r="H1408" s="17" t="s">
        <v>25</v>
      </c>
      <c r="I1408" s="18" t="s">
        <v>26</v>
      </c>
      <c r="J1408" s="15" t="n">
        <v>2018</v>
      </c>
      <c r="K1408" s="19" t="s">
        <v>27</v>
      </c>
      <c r="L1408" s="15" t="s">
        <v>28</v>
      </c>
      <c r="M1408" s="15" t="s">
        <v>33</v>
      </c>
      <c r="N1408" s="17" t="s">
        <v>375</v>
      </c>
      <c r="O1408" s="15"/>
      <c r="P1408" s="15"/>
      <c r="Q1408" s="21" t="s">
        <v>78</v>
      </c>
      <c r="R1408" s="21"/>
      <c r="S1408" s="21"/>
      <c r="T1408" s="31" t="n">
        <v>45880</v>
      </c>
      <c r="U1408" s="24"/>
    </row>
    <row r="1409" s="25" customFormat="true" ht="41.4" hidden="false" customHeight="false" outlineLevel="0" collapsed="false">
      <c r="A1409" s="36" t="s">
        <v>3144</v>
      </c>
      <c r="B1409" s="26" t="s">
        <v>3145</v>
      </c>
      <c r="C1409" s="14" t="s">
        <v>734</v>
      </c>
      <c r="D1409" s="15" t="n">
        <v>4</v>
      </c>
      <c r="E1409" s="27" t="n">
        <f aca="false">F1409/2</f>
        <v>400</v>
      </c>
      <c r="F1409" s="16" t="n">
        <v>800</v>
      </c>
      <c r="G1409" s="15" t="s">
        <v>24</v>
      </c>
      <c r="H1409" s="17" t="s">
        <v>25</v>
      </c>
      <c r="I1409" s="18" t="s">
        <v>26</v>
      </c>
      <c r="J1409" s="15" t="n">
        <v>2016</v>
      </c>
      <c r="K1409" s="19" t="s">
        <v>27</v>
      </c>
      <c r="L1409" s="15" t="s">
        <v>28</v>
      </c>
      <c r="M1409" s="15" t="s">
        <v>33</v>
      </c>
      <c r="N1409" s="17" t="s">
        <v>375</v>
      </c>
      <c r="O1409" s="15"/>
      <c r="P1409" s="15"/>
      <c r="Q1409" s="21" t="s">
        <v>78</v>
      </c>
      <c r="R1409" s="21"/>
      <c r="S1409" s="21"/>
      <c r="T1409" s="31" t="n">
        <v>45904</v>
      </c>
      <c r="U1409" s="24"/>
    </row>
    <row r="1410" s="25" customFormat="true" ht="41.4" hidden="false" customHeight="false" outlineLevel="0" collapsed="false">
      <c r="A1410" s="63" t="s">
        <v>3146</v>
      </c>
      <c r="B1410" s="26" t="s">
        <v>3147</v>
      </c>
      <c r="C1410" s="14" t="s">
        <v>264</v>
      </c>
      <c r="D1410" s="15" t="n">
        <v>12</v>
      </c>
      <c r="E1410" s="16" t="n">
        <f aca="false">F1410/2</f>
        <v>82059.48</v>
      </c>
      <c r="F1410" s="16" t="n">
        <f aca="false">176472*0.93</f>
        <v>164118.96</v>
      </c>
      <c r="G1410" s="15" t="s">
        <v>36</v>
      </c>
      <c r="H1410" s="17" t="s">
        <v>25</v>
      </c>
      <c r="I1410" s="18" t="s">
        <v>26</v>
      </c>
      <c r="J1410" s="15" t="n">
        <v>2024</v>
      </c>
      <c r="K1410" s="19" t="s">
        <v>27</v>
      </c>
      <c r="L1410" s="15" t="s">
        <v>28</v>
      </c>
      <c r="M1410" s="15" t="s">
        <v>33</v>
      </c>
      <c r="N1410" s="17" t="s">
        <v>375</v>
      </c>
      <c r="O1410" s="60"/>
      <c r="P1410" s="60"/>
      <c r="Q1410" s="21"/>
      <c r="R1410" s="21"/>
      <c r="S1410" s="40"/>
      <c r="T1410" s="31" t="n">
        <v>45880</v>
      </c>
      <c r="U1410" s="41"/>
    </row>
    <row r="1411" s="25" customFormat="true" ht="41.4" hidden="false" customHeight="false" outlineLevel="0" collapsed="false">
      <c r="A1411" s="36" t="s">
        <v>3148</v>
      </c>
      <c r="B1411" s="26" t="s">
        <v>3149</v>
      </c>
      <c r="C1411" s="14" t="s">
        <v>122</v>
      </c>
      <c r="D1411" s="15" t="n">
        <v>12</v>
      </c>
      <c r="E1411" s="27" t="n">
        <v>23628</v>
      </c>
      <c r="F1411" s="16" t="n">
        <v>39204</v>
      </c>
      <c r="G1411" s="15" t="s">
        <v>36</v>
      </c>
      <c r="H1411" s="17" t="s">
        <v>25</v>
      </c>
      <c r="I1411" s="89" t="s">
        <v>26</v>
      </c>
      <c r="J1411" s="15" t="n">
        <v>2017</v>
      </c>
      <c r="K1411" s="19" t="s">
        <v>27</v>
      </c>
      <c r="L1411" s="15" t="s">
        <v>28</v>
      </c>
      <c r="M1411" s="15" t="s">
        <v>33</v>
      </c>
      <c r="N1411" s="17" t="s">
        <v>375</v>
      </c>
      <c r="O1411" s="15"/>
      <c r="P1411" s="15"/>
      <c r="Q1411" s="21"/>
      <c r="R1411" s="21"/>
      <c r="S1411" s="21"/>
      <c r="T1411" s="28"/>
      <c r="U1411" s="24"/>
    </row>
    <row r="1412" s="25" customFormat="true" ht="41.4" hidden="false" customHeight="false" outlineLevel="0" collapsed="false">
      <c r="A1412" s="36" t="s">
        <v>3150</v>
      </c>
      <c r="B1412" s="26"/>
      <c r="C1412" s="14" t="s">
        <v>528</v>
      </c>
      <c r="D1412" s="15" t="n">
        <v>6</v>
      </c>
      <c r="E1412" s="27" t="n">
        <f aca="false">F1412/2</f>
        <v>795.5</v>
      </c>
      <c r="F1412" s="16" t="n">
        <f aca="false">FLOOR(1326*1.2,1)</f>
        <v>1591</v>
      </c>
      <c r="G1412" s="15" t="s">
        <v>36</v>
      </c>
      <c r="H1412" s="17" t="s">
        <v>25</v>
      </c>
      <c r="I1412" s="18" t="s">
        <v>26</v>
      </c>
      <c r="J1412" s="15" t="n">
        <v>2023</v>
      </c>
      <c r="K1412" s="19" t="s">
        <v>27</v>
      </c>
      <c r="L1412" s="15" t="s">
        <v>28</v>
      </c>
      <c r="M1412" s="15" t="s">
        <v>33</v>
      </c>
      <c r="N1412" s="17"/>
      <c r="O1412" s="15"/>
      <c r="P1412" s="15"/>
      <c r="Q1412" s="21"/>
      <c r="R1412" s="21"/>
      <c r="S1412" s="21"/>
      <c r="T1412" s="28"/>
      <c r="U1412" s="24"/>
    </row>
    <row r="1413" s="25" customFormat="true" ht="41.4" hidden="false" customHeight="false" outlineLevel="0" collapsed="false">
      <c r="A1413" s="36" t="s">
        <v>3151</v>
      </c>
      <c r="B1413" s="26" t="s">
        <v>3152</v>
      </c>
      <c r="C1413" s="14"/>
      <c r="D1413" s="15" t="n">
        <v>50</v>
      </c>
      <c r="E1413" s="27" t="n">
        <v>1050</v>
      </c>
      <c r="F1413" s="16" t="n">
        <v>2100</v>
      </c>
      <c r="G1413" s="15" t="s">
        <v>354</v>
      </c>
      <c r="H1413" s="17" t="s">
        <v>25</v>
      </c>
      <c r="I1413" s="18" t="s">
        <v>26</v>
      </c>
      <c r="J1413" s="15" t="n">
        <v>1996</v>
      </c>
      <c r="K1413" s="19" t="s">
        <v>1226</v>
      </c>
      <c r="L1413" s="15" t="s">
        <v>103</v>
      </c>
      <c r="M1413" s="15" t="s">
        <v>33</v>
      </c>
      <c r="N1413" s="17" t="s">
        <v>40</v>
      </c>
      <c r="O1413" s="15"/>
      <c r="P1413" s="15"/>
      <c r="Q1413" s="21" t="s">
        <v>41</v>
      </c>
      <c r="R1413" s="21"/>
      <c r="S1413" s="21"/>
      <c r="T1413" s="28"/>
      <c r="U1413" s="24" t="s">
        <v>3153</v>
      </c>
    </row>
    <row r="1414" s="25" customFormat="true" ht="41.4" hidden="false" customHeight="false" outlineLevel="0" collapsed="false">
      <c r="A1414" s="36" t="s">
        <v>3154</v>
      </c>
      <c r="B1414" s="26"/>
      <c r="C1414" s="14" t="s">
        <v>404</v>
      </c>
      <c r="D1414" s="15" t="n">
        <v>4</v>
      </c>
      <c r="E1414" s="27" t="n">
        <f aca="false">F1414/2</f>
        <v>3600</v>
      </c>
      <c r="F1414" s="16" t="n">
        <v>7200</v>
      </c>
      <c r="G1414" s="15" t="s">
        <v>36</v>
      </c>
      <c r="H1414" s="17" t="s">
        <v>25</v>
      </c>
      <c r="I1414" s="18" t="s">
        <v>26</v>
      </c>
      <c r="J1414" s="15" t="n">
        <v>2023</v>
      </c>
      <c r="K1414" s="19" t="s">
        <v>27</v>
      </c>
      <c r="L1414" s="15" t="s">
        <v>28</v>
      </c>
      <c r="M1414" s="15" t="s">
        <v>33</v>
      </c>
      <c r="N1414" s="17" t="s">
        <v>72</v>
      </c>
      <c r="O1414" s="15"/>
      <c r="P1414" s="15"/>
      <c r="Q1414" s="21"/>
      <c r="R1414" s="21" t="s">
        <v>30</v>
      </c>
      <c r="S1414" s="21"/>
      <c r="T1414" s="31" t="n">
        <v>45848</v>
      </c>
      <c r="U1414" s="24"/>
    </row>
    <row r="1415" s="25" customFormat="true" ht="41.4" hidden="false" customHeight="false" outlineLevel="0" collapsed="false">
      <c r="A1415" s="36" t="s">
        <v>3155</v>
      </c>
      <c r="B1415" s="26" t="s">
        <v>3156</v>
      </c>
      <c r="C1415" s="14" t="s">
        <v>148</v>
      </c>
      <c r="D1415" s="15" t="n">
        <v>6</v>
      </c>
      <c r="E1415" s="27" t="n">
        <f aca="false">F1415/2</f>
        <v>2595</v>
      </c>
      <c r="F1415" s="35" t="n">
        <f aca="false">FLOOR(4325*1.2,1)</f>
        <v>5190</v>
      </c>
      <c r="G1415" s="15" t="s">
        <v>36</v>
      </c>
      <c r="H1415" s="17" t="s">
        <v>25</v>
      </c>
      <c r="I1415" s="18" t="s">
        <v>26</v>
      </c>
      <c r="J1415" s="15" t="n">
        <v>2020</v>
      </c>
      <c r="K1415" s="19" t="s">
        <v>27</v>
      </c>
      <c r="L1415" s="15" t="s">
        <v>28</v>
      </c>
      <c r="M1415" s="15" t="s">
        <v>33</v>
      </c>
      <c r="N1415" s="17" t="s">
        <v>83</v>
      </c>
      <c r="O1415" s="15"/>
      <c r="P1415" s="15"/>
      <c r="Q1415" s="21"/>
      <c r="R1415" s="21"/>
      <c r="S1415" s="21"/>
      <c r="T1415" s="31" t="n">
        <v>45882</v>
      </c>
      <c r="U1415" s="34"/>
    </row>
    <row r="1416" s="25" customFormat="true" ht="41.4" hidden="false" customHeight="false" outlineLevel="0" collapsed="false">
      <c r="A1416" s="36" t="s">
        <v>3157</v>
      </c>
      <c r="B1416" s="26" t="s">
        <v>3158</v>
      </c>
      <c r="C1416" s="14" t="s">
        <v>2836</v>
      </c>
      <c r="D1416" s="15" t="n">
        <v>12</v>
      </c>
      <c r="E1416" s="27" t="n">
        <f aca="false">F1416/2</f>
        <v>8400</v>
      </c>
      <c r="F1416" s="16" t="n">
        <v>16800</v>
      </c>
      <c r="G1416" s="15" t="s">
        <v>36</v>
      </c>
      <c r="H1416" s="17" t="s">
        <v>25</v>
      </c>
      <c r="I1416" s="18" t="s">
        <v>26</v>
      </c>
      <c r="J1416" s="15" t="n">
        <v>2017</v>
      </c>
      <c r="K1416" s="19" t="s">
        <v>27</v>
      </c>
      <c r="L1416" s="15" t="s">
        <v>28</v>
      </c>
      <c r="M1416" s="15" t="s">
        <v>33</v>
      </c>
      <c r="N1416" s="17" t="s">
        <v>72</v>
      </c>
      <c r="O1416" s="15"/>
      <c r="P1416" s="15"/>
      <c r="Q1416" s="21" t="s">
        <v>534</v>
      </c>
      <c r="R1416" s="21"/>
      <c r="S1416" s="21"/>
      <c r="T1416" s="31" t="n">
        <v>45901</v>
      </c>
      <c r="U1416" s="24"/>
    </row>
    <row r="1417" s="25" customFormat="true" ht="41.4" hidden="false" customHeight="false" outlineLevel="0" collapsed="false">
      <c r="A1417" s="36" t="s">
        <v>3159</v>
      </c>
      <c r="B1417" s="26" t="s">
        <v>3160</v>
      </c>
      <c r="C1417" s="14" t="s">
        <v>246</v>
      </c>
      <c r="D1417" s="15" t="n">
        <v>12</v>
      </c>
      <c r="E1417" s="27" t="n">
        <f aca="false">F1417/2</f>
        <v>10280</v>
      </c>
      <c r="F1417" s="38" t="n">
        <v>20560</v>
      </c>
      <c r="G1417" s="15" t="s">
        <v>24</v>
      </c>
      <c r="H1417" s="17" t="s">
        <v>25</v>
      </c>
      <c r="I1417" s="18" t="s">
        <v>26</v>
      </c>
      <c r="J1417" s="15" t="n">
        <v>2000</v>
      </c>
      <c r="K1417" s="19" t="s">
        <v>27</v>
      </c>
      <c r="L1417" s="15" t="s">
        <v>28</v>
      </c>
      <c r="M1417" s="15" t="s">
        <v>33</v>
      </c>
      <c r="N1417" s="17" t="s">
        <v>279</v>
      </c>
      <c r="O1417" s="15"/>
      <c r="P1417" s="15"/>
      <c r="Q1417" s="21" t="s">
        <v>280</v>
      </c>
      <c r="R1417" s="21"/>
      <c r="S1417" s="21"/>
      <c r="T1417" s="31" t="n">
        <v>45882</v>
      </c>
      <c r="U1417" s="24" t="s">
        <v>3161</v>
      </c>
    </row>
    <row r="1418" s="25" customFormat="true" ht="41.4" hidden="false" customHeight="false" outlineLevel="0" collapsed="false">
      <c r="A1418" s="36" t="s">
        <v>3162</v>
      </c>
      <c r="B1418" s="26"/>
      <c r="C1418" s="14" t="s">
        <v>107</v>
      </c>
      <c r="D1418" s="15" t="n">
        <v>4</v>
      </c>
      <c r="E1418" s="27" t="n">
        <f aca="false">F1418/2</f>
        <v>857.5</v>
      </c>
      <c r="F1418" s="16" t="n">
        <v>1715</v>
      </c>
      <c r="G1418" s="15" t="s">
        <v>36</v>
      </c>
      <c r="H1418" s="17" t="s">
        <v>25</v>
      </c>
      <c r="I1418" s="18" t="s">
        <v>26</v>
      </c>
      <c r="J1418" s="15" t="n">
        <v>2024</v>
      </c>
      <c r="K1418" s="19" t="s">
        <v>108</v>
      </c>
      <c r="L1418" s="15" t="s">
        <v>28</v>
      </c>
      <c r="M1418" s="15" t="s">
        <v>33</v>
      </c>
      <c r="N1418" s="17"/>
      <c r="O1418" s="15"/>
      <c r="P1418" s="15"/>
      <c r="Q1418" s="21"/>
      <c r="R1418" s="21"/>
      <c r="S1418" s="21"/>
      <c r="T1418" s="31" t="n">
        <v>45884</v>
      </c>
      <c r="U1418" s="24"/>
    </row>
    <row r="1419" s="25" customFormat="true" ht="41.4" hidden="false" customHeight="false" outlineLevel="0" collapsed="false">
      <c r="A1419" s="63" t="s">
        <v>3163</v>
      </c>
      <c r="B1419" s="26" t="s">
        <v>3164</v>
      </c>
      <c r="C1419" s="14" t="s">
        <v>264</v>
      </c>
      <c r="D1419" s="30" t="n">
        <v>12</v>
      </c>
      <c r="E1419" s="16" t="n">
        <f aca="false">F1419/2</f>
        <v>86512.32</v>
      </c>
      <c r="F1419" s="16" t="n">
        <f aca="false">186048*0.93</f>
        <v>173024.64</v>
      </c>
      <c r="G1419" s="15" t="s">
        <v>36</v>
      </c>
      <c r="H1419" s="17" t="s">
        <v>25</v>
      </c>
      <c r="I1419" s="18" t="s">
        <v>26</v>
      </c>
      <c r="J1419" s="15" t="n">
        <v>2024</v>
      </c>
      <c r="K1419" s="19" t="s">
        <v>27</v>
      </c>
      <c r="L1419" s="15" t="s">
        <v>28</v>
      </c>
      <c r="M1419" s="15" t="s">
        <v>33</v>
      </c>
      <c r="N1419" s="30"/>
      <c r="O1419" s="60"/>
      <c r="P1419" s="60"/>
      <c r="Q1419" s="21"/>
      <c r="R1419" s="21"/>
      <c r="S1419" s="40"/>
      <c r="T1419" s="31" t="n">
        <v>45880</v>
      </c>
      <c r="U1419" s="41"/>
    </row>
    <row r="1420" s="25" customFormat="true" ht="41.4" hidden="false" customHeight="false" outlineLevel="0" collapsed="false">
      <c r="A1420" s="36" t="s">
        <v>3165</v>
      </c>
      <c r="B1420" s="26" t="s">
        <v>3166</v>
      </c>
      <c r="C1420" s="14" t="s">
        <v>122</v>
      </c>
      <c r="D1420" s="15" t="n">
        <v>12</v>
      </c>
      <c r="E1420" s="27" t="n">
        <v>23628</v>
      </c>
      <c r="F1420" s="16" t="n">
        <v>39204</v>
      </c>
      <c r="G1420" s="15" t="s">
        <v>36</v>
      </c>
      <c r="H1420" s="17" t="s">
        <v>25</v>
      </c>
      <c r="I1420" s="18" t="s">
        <v>26</v>
      </c>
      <c r="J1420" s="15" t="n">
        <v>2017</v>
      </c>
      <c r="K1420" s="19" t="s">
        <v>27</v>
      </c>
      <c r="L1420" s="15" t="s">
        <v>28</v>
      </c>
      <c r="M1420" s="15" t="s">
        <v>33</v>
      </c>
      <c r="N1420" s="17" t="s">
        <v>72</v>
      </c>
      <c r="O1420" s="15"/>
      <c r="P1420" s="15"/>
      <c r="Q1420" s="21"/>
      <c r="R1420" s="21"/>
      <c r="S1420" s="21"/>
      <c r="T1420" s="28"/>
      <c r="U1420" s="24"/>
    </row>
    <row r="1421" s="25" customFormat="true" ht="41.4" hidden="false" customHeight="false" outlineLevel="0" collapsed="false">
      <c r="A1421" s="36" t="s">
        <v>3167</v>
      </c>
      <c r="B1421" s="26"/>
      <c r="C1421" s="14" t="s">
        <v>864</v>
      </c>
      <c r="D1421" s="15" t="n">
        <v>3</v>
      </c>
      <c r="E1421" s="27" t="n">
        <f aca="false">F1421/2</f>
        <v>50</v>
      </c>
      <c r="F1421" s="16" t="n">
        <v>100</v>
      </c>
      <c r="G1421" s="15" t="s">
        <v>36</v>
      </c>
      <c r="H1421" s="17" t="s">
        <v>25</v>
      </c>
      <c r="I1421" s="18" t="s">
        <v>26</v>
      </c>
      <c r="J1421" s="15" t="n">
        <v>2023</v>
      </c>
      <c r="K1421" s="19" t="s">
        <v>553</v>
      </c>
      <c r="L1421" s="15" t="s">
        <v>28</v>
      </c>
      <c r="M1421" s="15" t="s">
        <v>33</v>
      </c>
      <c r="N1421" s="17" t="s">
        <v>160</v>
      </c>
      <c r="O1421" s="15" t="s">
        <v>250</v>
      </c>
      <c r="P1421" s="15"/>
      <c r="Q1421" s="21"/>
      <c r="R1421" s="21"/>
      <c r="S1421" s="21"/>
      <c r="T1421" s="28"/>
      <c r="U1421" s="24"/>
    </row>
    <row r="1422" s="25" customFormat="true" ht="41.4" hidden="false" customHeight="false" outlineLevel="0" collapsed="false">
      <c r="A1422" s="36" t="s">
        <v>3168</v>
      </c>
      <c r="B1422" s="26" t="s">
        <v>3169</v>
      </c>
      <c r="C1422" s="14" t="s">
        <v>1065</v>
      </c>
      <c r="D1422" s="15" t="n">
        <v>12</v>
      </c>
      <c r="E1422" s="27" t="n">
        <f aca="false">F1422/2</f>
        <v>59850</v>
      </c>
      <c r="F1422" s="16" t="n">
        <f aca="false">114000*1.05</f>
        <v>119700</v>
      </c>
      <c r="G1422" s="15" t="s">
        <v>36</v>
      </c>
      <c r="H1422" s="17" t="s">
        <v>25</v>
      </c>
      <c r="I1422" s="18" t="s">
        <v>26</v>
      </c>
      <c r="J1422" s="15" t="n">
        <v>2017</v>
      </c>
      <c r="K1422" s="19" t="s">
        <v>27</v>
      </c>
      <c r="L1422" s="15" t="s">
        <v>28</v>
      </c>
      <c r="M1422" s="15" t="s">
        <v>33</v>
      </c>
      <c r="N1422" s="17" t="s">
        <v>240</v>
      </c>
      <c r="O1422" s="15"/>
      <c r="P1422" s="15"/>
      <c r="Q1422" s="21" t="s">
        <v>78</v>
      </c>
      <c r="R1422" s="21"/>
      <c r="S1422" s="21"/>
      <c r="T1422" s="31" t="n">
        <v>45856</v>
      </c>
      <c r="U1422" s="24"/>
    </row>
    <row r="1423" s="25" customFormat="true" ht="41.4" hidden="false" customHeight="false" outlineLevel="0" collapsed="false">
      <c r="A1423" s="36" t="s">
        <v>3170</v>
      </c>
      <c r="B1423" s="26" t="s">
        <v>3171</v>
      </c>
      <c r="C1423" s="14" t="s">
        <v>1350</v>
      </c>
      <c r="D1423" s="15" t="n">
        <v>4</v>
      </c>
      <c r="E1423" s="27" t="n">
        <f aca="false">F1423/2</f>
        <v>3600</v>
      </c>
      <c r="F1423" s="16" t="n">
        <v>7200</v>
      </c>
      <c r="G1423" s="15" t="s">
        <v>36</v>
      </c>
      <c r="H1423" s="17" t="s">
        <v>25</v>
      </c>
      <c r="I1423" s="18" t="s">
        <v>26</v>
      </c>
      <c r="J1423" s="15" t="n">
        <v>2020</v>
      </c>
      <c r="K1423" s="19" t="s">
        <v>27</v>
      </c>
      <c r="L1423" s="15" t="s">
        <v>28</v>
      </c>
      <c r="M1423" s="15" t="s">
        <v>33</v>
      </c>
      <c r="N1423" s="20" t="s">
        <v>53</v>
      </c>
      <c r="O1423" s="15"/>
      <c r="P1423" s="15"/>
      <c r="Q1423" s="21"/>
      <c r="R1423" s="21"/>
      <c r="S1423" s="21"/>
      <c r="T1423" s="28"/>
      <c r="U1423" s="34"/>
    </row>
    <row r="1424" s="25" customFormat="true" ht="41.4" hidden="false" customHeight="false" outlineLevel="0" collapsed="false">
      <c r="A1424" s="36" t="s">
        <v>3172</v>
      </c>
      <c r="B1424" s="26"/>
      <c r="C1424" s="14" t="s">
        <v>1276</v>
      </c>
      <c r="D1424" s="15" t="n">
        <v>12</v>
      </c>
      <c r="E1424" s="16" t="n">
        <f aca="false">F1424/2</f>
        <v>14571</v>
      </c>
      <c r="F1424" s="16" t="n">
        <v>29142</v>
      </c>
      <c r="G1424" s="15" t="s">
        <v>36</v>
      </c>
      <c r="H1424" s="17" t="s">
        <v>25</v>
      </c>
      <c r="I1424" s="18" t="s">
        <v>26</v>
      </c>
      <c r="J1424" s="15" t="n">
        <v>2024</v>
      </c>
      <c r="K1424" s="19" t="s">
        <v>27</v>
      </c>
      <c r="L1424" s="15" t="s">
        <v>28</v>
      </c>
      <c r="M1424" s="15" t="s">
        <v>33</v>
      </c>
      <c r="N1424" s="17"/>
      <c r="O1424" s="15"/>
      <c r="P1424" s="15"/>
      <c r="Q1424" s="21"/>
      <c r="R1424" s="21"/>
      <c r="S1424" s="21"/>
      <c r="T1424" s="28"/>
      <c r="U1424" s="34"/>
    </row>
    <row r="1425" s="25" customFormat="true" ht="41.4" hidden="false" customHeight="false" outlineLevel="0" collapsed="false">
      <c r="A1425" s="36" t="s">
        <v>3173</v>
      </c>
      <c r="B1425" s="26" t="s">
        <v>3174</v>
      </c>
      <c r="C1425" s="14" t="s">
        <v>246</v>
      </c>
      <c r="D1425" s="15" t="n">
        <v>6</v>
      </c>
      <c r="E1425" s="27" t="n">
        <f aca="false">F1425/2</f>
        <v>12820</v>
      </c>
      <c r="F1425" s="38" t="n">
        <v>25640</v>
      </c>
      <c r="G1425" s="15" t="s">
        <v>36</v>
      </c>
      <c r="H1425" s="17" t="s">
        <v>25</v>
      </c>
      <c r="I1425" s="18" t="s">
        <v>26</v>
      </c>
      <c r="J1425" s="15" t="n">
        <v>2017</v>
      </c>
      <c r="K1425" s="19" t="s">
        <v>27</v>
      </c>
      <c r="L1425" s="15" t="s">
        <v>28</v>
      </c>
      <c r="M1425" s="15" t="s">
        <v>33</v>
      </c>
      <c r="N1425" s="20" t="s">
        <v>87</v>
      </c>
      <c r="O1425" s="15"/>
      <c r="P1425" s="15"/>
      <c r="Q1425" s="21" t="s">
        <v>247</v>
      </c>
      <c r="R1425" s="21"/>
      <c r="S1425" s="21"/>
      <c r="T1425" s="31" t="n">
        <v>45882</v>
      </c>
      <c r="U1425" s="24" t="s">
        <v>248</v>
      </c>
    </row>
    <row r="1426" s="25" customFormat="true" ht="41.4" hidden="false" customHeight="false" outlineLevel="0" collapsed="false">
      <c r="A1426" s="36" t="s">
        <v>3175</v>
      </c>
      <c r="B1426" s="26"/>
      <c r="C1426" s="14" t="s">
        <v>1276</v>
      </c>
      <c r="D1426" s="15" t="n">
        <v>4</v>
      </c>
      <c r="E1426" s="16" t="n">
        <f aca="false">F1426/2</f>
        <v>6000</v>
      </c>
      <c r="F1426" s="16" t="n">
        <v>12000</v>
      </c>
      <c r="G1426" s="15" t="s">
        <v>36</v>
      </c>
      <c r="H1426" s="17" t="s">
        <v>25</v>
      </c>
      <c r="I1426" s="18" t="s">
        <v>26</v>
      </c>
      <c r="J1426" s="15" t="n">
        <v>2024</v>
      </c>
      <c r="K1426" s="19" t="s">
        <v>27</v>
      </c>
      <c r="L1426" s="15" t="s">
        <v>28</v>
      </c>
      <c r="M1426" s="15" t="s">
        <v>33</v>
      </c>
      <c r="N1426" s="17"/>
      <c r="O1426" s="15"/>
      <c r="P1426" s="15"/>
      <c r="Q1426" s="21"/>
      <c r="R1426" s="21"/>
      <c r="S1426" s="21"/>
      <c r="T1426" s="28"/>
      <c r="U1426" s="34"/>
    </row>
    <row r="1427" s="25" customFormat="true" ht="41.4" hidden="false" customHeight="false" outlineLevel="0" collapsed="false">
      <c r="A1427" s="36" t="s">
        <v>3176</v>
      </c>
      <c r="B1427" s="26" t="s">
        <v>3177</v>
      </c>
      <c r="C1427" s="14" t="s">
        <v>2550</v>
      </c>
      <c r="D1427" s="15" t="n">
        <v>4</v>
      </c>
      <c r="E1427" s="27" t="n">
        <f aca="false">F1427/2</f>
        <v>50</v>
      </c>
      <c r="F1427" s="16" t="n">
        <v>100</v>
      </c>
      <c r="G1427" s="15" t="s">
        <v>36</v>
      </c>
      <c r="H1427" s="17" t="s">
        <v>25</v>
      </c>
      <c r="I1427" s="18" t="s">
        <v>26</v>
      </c>
      <c r="J1427" s="15" t="n">
        <v>2018</v>
      </c>
      <c r="K1427" s="19" t="s">
        <v>27</v>
      </c>
      <c r="L1427" s="15" t="s">
        <v>28</v>
      </c>
      <c r="M1427" s="15" t="s">
        <v>33</v>
      </c>
      <c r="N1427" s="17" t="s">
        <v>1068</v>
      </c>
      <c r="O1427" s="15"/>
      <c r="P1427" s="15"/>
      <c r="Q1427" s="21"/>
      <c r="R1427" s="21"/>
      <c r="S1427" s="21"/>
      <c r="T1427" s="28"/>
      <c r="U1427" s="34"/>
    </row>
    <row r="1428" s="25" customFormat="true" ht="41.4" hidden="false" customHeight="false" outlineLevel="0" collapsed="false">
      <c r="A1428" s="36" t="s">
        <v>3178</v>
      </c>
      <c r="B1428" s="26" t="s">
        <v>3179</v>
      </c>
      <c r="C1428" s="14"/>
      <c r="D1428" s="15" t="n">
        <v>12</v>
      </c>
      <c r="E1428" s="27" t="n">
        <v>2500</v>
      </c>
      <c r="F1428" s="16" t="n">
        <v>5000</v>
      </c>
      <c r="G1428" s="15" t="s">
        <v>24</v>
      </c>
      <c r="H1428" s="17" t="s">
        <v>25</v>
      </c>
      <c r="I1428" s="18" t="s">
        <v>26</v>
      </c>
      <c r="J1428" s="15" t="n">
        <v>2016</v>
      </c>
      <c r="K1428" s="19" t="s">
        <v>27</v>
      </c>
      <c r="L1428" s="15" t="s">
        <v>28</v>
      </c>
      <c r="M1428" s="15" t="s">
        <v>33</v>
      </c>
      <c r="N1428" s="17" t="s">
        <v>1461</v>
      </c>
      <c r="O1428" s="15"/>
      <c r="P1428" s="15"/>
      <c r="Q1428" s="21" t="s">
        <v>1972</v>
      </c>
      <c r="R1428" s="21"/>
      <c r="S1428" s="21"/>
      <c r="T1428" s="28"/>
      <c r="U1428" s="24"/>
    </row>
    <row r="1429" s="25" customFormat="true" ht="41.4" hidden="false" customHeight="false" outlineLevel="0" collapsed="false">
      <c r="A1429" s="36" t="s">
        <v>3180</v>
      </c>
      <c r="B1429" s="26" t="s">
        <v>3181</v>
      </c>
      <c r="C1429" s="14"/>
      <c r="D1429" s="15" t="n">
        <v>4</v>
      </c>
      <c r="E1429" s="27" t="n">
        <f aca="false">F1429/2</f>
        <v>650</v>
      </c>
      <c r="F1429" s="16" t="n">
        <v>1300</v>
      </c>
      <c r="G1429" s="15" t="s">
        <v>36</v>
      </c>
      <c r="H1429" s="17" t="s">
        <v>25</v>
      </c>
      <c r="I1429" s="18" t="s">
        <v>26</v>
      </c>
      <c r="J1429" s="15" t="n">
        <v>2019</v>
      </c>
      <c r="K1429" s="19" t="s">
        <v>27</v>
      </c>
      <c r="L1429" s="15" t="s">
        <v>28</v>
      </c>
      <c r="M1429" s="15" t="s">
        <v>33</v>
      </c>
      <c r="N1429" s="20"/>
      <c r="O1429" s="15"/>
      <c r="P1429" s="15"/>
      <c r="Q1429" s="21"/>
      <c r="R1429" s="21"/>
      <c r="S1429" s="21"/>
      <c r="T1429" s="28"/>
      <c r="U1429" s="34"/>
    </row>
    <row r="1430" s="25" customFormat="true" ht="41.4" hidden="false" customHeight="false" outlineLevel="0" collapsed="false">
      <c r="A1430" s="36" t="s">
        <v>3182</v>
      </c>
      <c r="B1430" s="26" t="s">
        <v>3183</v>
      </c>
      <c r="C1430" s="14" t="s">
        <v>246</v>
      </c>
      <c r="D1430" s="15" t="n">
        <v>6</v>
      </c>
      <c r="E1430" s="27" t="n">
        <f aca="false">F1430/2</f>
        <v>12820</v>
      </c>
      <c r="F1430" s="38" t="n">
        <v>25640</v>
      </c>
      <c r="G1430" s="15" t="s">
        <v>36</v>
      </c>
      <c r="H1430" s="17" t="s">
        <v>25</v>
      </c>
      <c r="I1430" s="18" t="s">
        <v>26</v>
      </c>
      <c r="J1430" s="15" t="n">
        <v>2017</v>
      </c>
      <c r="K1430" s="19" t="s">
        <v>27</v>
      </c>
      <c r="L1430" s="15" t="s">
        <v>28</v>
      </c>
      <c r="M1430" s="15" t="s">
        <v>33</v>
      </c>
      <c r="N1430" s="20" t="s">
        <v>153</v>
      </c>
      <c r="O1430" s="15"/>
      <c r="P1430" s="15"/>
      <c r="Q1430" s="21" t="s">
        <v>247</v>
      </c>
      <c r="R1430" s="21"/>
      <c r="S1430" s="21"/>
      <c r="T1430" s="31" t="n">
        <v>45882</v>
      </c>
      <c r="U1430" s="24" t="s">
        <v>248</v>
      </c>
    </row>
    <row r="1431" s="25" customFormat="true" ht="41.4" hidden="false" customHeight="false" outlineLevel="0" collapsed="false">
      <c r="A1431" s="36" t="s">
        <v>3184</v>
      </c>
      <c r="B1431" s="26" t="s">
        <v>3185</v>
      </c>
      <c r="C1431" s="14" t="s">
        <v>86</v>
      </c>
      <c r="D1431" s="15" t="n">
        <v>6</v>
      </c>
      <c r="E1431" s="27" t="n">
        <f aca="false">F1431/2</f>
        <v>6552</v>
      </c>
      <c r="F1431" s="32" t="n">
        <v>13104</v>
      </c>
      <c r="G1431" s="15" t="s">
        <v>24</v>
      </c>
      <c r="H1431" s="17" t="s">
        <v>25</v>
      </c>
      <c r="I1431" s="18" t="s">
        <v>26</v>
      </c>
      <c r="J1431" s="15" t="n">
        <v>2016</v>
      </c>
      <c r="K1431" s="19" t="s">
        <v>59</v>
      </c>
      <c r="L1431" s="15" t="s">
        <v>28</v>
      </c>
      <c r="M1431" s="15" t="s">
        <v>33</v>
      </c>
      <c r="N1431" s="17" t="s">
        <v>153</v>
      </c>
      <c r="O1431" s="15"/>
      <c r="P1431" s="15"/>
      <c r="Q1431" s="21" t="s">
        <v>78</v>
      </c>
      <c r="R1431" s="21"/>
      <c r="S1431" s="21"/>
      <c r="T1431" s="31" t="n">
        <v>45882</v>
      </c>
      <c r="U1431" s="24"/>
    </row>
    <row r="1432" s="25" customFormat="true" ht="41.4" hidden="false" customHeight="false" outlineLevel="0" collapsed="false">
      <c r="A1432" s="36" t="s">
        <v>3186</v>
      </c>
      <c r="B1432" s="26" t="s">
        <v>3187</v>
      </c>
      <c r="C1432" s="14" t="s">
        <v>3188</v>
      </c>
      <c r="D1432" s="15" t="n">
        <v>12</v>
      </c>
      <c r="E1432" s="27" t="n">
        <f aca="false">F1432/2</f>
        <v>13632</v>
      </c>
      <c r="F1432" s="16" t="n">
        <f aca="false">22720*1.2</f>
        <v>27264</v>
      </c>
      <c r="G1432" s="15" t="s">
        <v>36</v>
      </c>
      <c r="H1432" s="17" t="s">
        <v>25</v>
      </c>
      <c r="I1432" s="18" t="s">
        <v>26</v>
      </c>
      <c r="J1432" s="15" t="n">
        <v>2019</v>
      </c>
      <c r="K1432" s="19" t="s">
        <v>27</v>
      </c>
      <c r="L1432" s="15" t="s">
        <v>28</v>
      </c>
      <c r="M1432" s="15" t="s">
        <v>33</v>
      </c>
      <c r="N1432" s="20" t="s">
        <v>397</v>
      </c>
      <c r="O1432" s="15"/>
      <c r="P1432" s="15"/>
      <c r="Q1432" s="21"/>
      <c r="R1432" s="21"/>
      <c r="S1432" s="21"/>
      <c r="T1432" s="28"/>
      <c r="U1432" s="34"/>
    </row>
    <row r="1433" s="25" customFormat="true" ht="41.4" hidden="false" customHeight="false" outlineLevel="0" collapsed="false">
      <c r="A1433" s="36" t="s">
        <v>3189</v>
      </c>
      <c r="B1433" s="26" t="s">
        <v>3190</v>
      </c>
      <c r="C1433" s="14" t="s">
        <v>122</v>
      </c>
      <c r="D1433" s="15" t="n">
        <v>12</v>
      </c>
      <c r="E1433" s="27" t="n">
        <v>23628</v>
      </c>
      <c r="F1433" s="16" t="n">
        <v>39204</v>
      </c>
      <c r="G1433" s="15" t="s">
        <v>36</v>
      </c>
      <c r="H1433" s="17" t="s">
        <v>25</v>
      </c>
      <c r="I1433" s="18" t="s">
        <v>26</v>
      </c>
      <c r="J1433" s="15" t="n">
        <v>2017</v>
      </c>
      <c r="K1433" s="19" t="s">
        <v>27</v>
      </c>
      <c r="L1433" s="15" t="s">
        <v>28</v>
      </c>
      <c r="M1433" s="15" t="s">
        <v>33</v>
      </c>
      <c r="N1433" s="17" t="s">
        <v>397</v>
      </c>
      <c r="O1433" s="15"/>
      <c r="P1433" s="15"/>
      <c r="Q1433" s="21"/>
      <c r="R1433" s="21"/>
      <c r="S1433" s="21"/>
      <c r="T1433" s="28"/>
      <c r="U1433" s="24"/>
    </row>
    <row r="1434" s="25" customFormat="true" ht="41.4" hidden="false" customHeight="false" outlineLevel="0" collapsed="false">
      <c r="A1434" s="63" t="s">
        <v>3191</v>
      </c>
      <c r="B1434" s="26"/>
      <c r="C1434" s="14" t="s">
        <v>264</v>
      </c>
      <c r="D1434" s="30" t="n">
        <v>12</v>
      </c>
      <c r="E1434" s="16" t="n">
        <f aca="false">F1434/2</f>
        <v>47709</v>
      </c>
      <c r="F1434" s="16" t="n">
        <f aca="false">102600*0.93</f>
        <v>95418</v>
      </c>
      <c r="G1434" s="15" t="s">
        <v>36</v>
      </c>
      <c r="H1434" s="17" t="s">
        <v>25</v>
      </c>
      <c r="I1434" s="18" t="s">
        <v>26</v>
      </c>
      <c r="J1434" s="15" t="n">
        <v>2024</v>
      </c>
      <c r="K1434" s="19" t="s">
        <v>27</v>
      </c>
      <c r="L1434" s="15" t="s">
        <v>28</v>
      </c>
      <c r="M1434" s="15" t="s">
        <v>33</v>
      </c>
      <c r="N1434" s="17" t="s">
        <v>83</v>
      </c>
      <c r="O1434" s="60"/>
      <c r="P1434" s="60"/>
      <c r="Q1434" s="21"/>
      <c r="R1434" s="21"/>
      <c r="S1434" s="40"/>
      <c r="T1434" s="31" t="n">
        <v>45880</v>
      </c>
      <c r="U1434" s="41"/>
    </row>
    <row r="1435" s="25" customFormat="true" ht="41.4" hidden="false" customHeight="false" outlineLevel="0" collapsed="false">
      <c r="A1435" s="36" t="s">
        <v>3192</v>
      </c>
      <c r="B1435" s="26" t="s">
        <v>3193</v>
      </c>
      <c r="C1435" s="14" t="s">
        <v>301</v>
      </c>
      <c r="D1435" s="15" t="n">
        <v>10</v>
      </c>
      <c r="E1435" s="27" t="n">
        <f aca="false">F1435/2</f>
        <v>7002</v>
      </c>
      <c r="F1435" s="16" t="n">
        <f aca="false">CEILING(11670*1.2,1)</f>
        <v>14004</v>
      </c>
      <c r="G1435" s="15" t="s">
        <v>36</v>
      </c>
      <c r="H1435" s="17" t="s">
        <v>25</v>
      </c>
      <c r="I1435" s="18" t="s">
        <v>26</v>
      </c>
      <c r="J1435" s="15" t="n">
        <v>2018</v>
      </c>
      <c r="K1435" s="19" t="s">
        <v>27</v>
      </c>
      <c r="L1435" s="15" t="s">
        <v>28</v>
      </c>
      <c r="M1435" s="15" t="s">
        <v>33</v>
      </c>
      <c r="N1435" s="17" t="s">
        <v>83</v>
      </c>
      <c r="O1435" s="15" t="s">
        <v>203</v>
      </c>
      <c r="P1435" s="15"/>
      <c r="Q1435" s="21" t="s">
        <v>78</v>
      </c>
      <c r="R1435" s="21"/>
      <c r="S1435" s="21"/>
      <c r="T1435" s="28"/>
      <c r="U1435" s="24"/>
    </row>
    <row r="1436" s="25" customFormat="true" ht="41.4" hidden="false" customHeight="false" outlineLevel="0" collapsed="false">
      <c r="A1436" s="36" t="s">
        <v>3194</v>
      </c>
      <c r="B1436" s="26"/>
      <c r="C1436" s="14" t="s">
        <v>625</v>
      </c>
      <c r="D1436" s="15" t="n">
        <v>4</v>
      </c>
      <c r="E1436" s="27" t="n">
        <f aca="false">F1436/2</f>
        <v>50</v>
      </c>
      <c r="F1436" s="16" t="n">
        <v>100</v>
      </c>
      <c r="G1436" s="15" t="s">
        <v>36</v>
      </c>
      <c r="H1436" s="17" t="s">
        <v>25</v>
      </c>
      <c r="I1436" s="18" t="s">
        <v>26</v>
      </c>
      <c r="J1436" s="15" t="n">
        <v>2023</v>
      </c>
      <c r="K1436" s="19" t="s">
        <v>27</v>
      </c>
      <c r="L1436" s="15" t="s">
        <v>28</v>
      </c>
      <c r="M1436" s="15" t="s">
        <v>33</v>
      </c>
      <c r="N1436" s="20"/>
      <c r="O1436" s="15"/>
      <c r="P1436" s="15"/>
      <c r="Q1436" s="21"/>
      <c r="R1436" s="21"/>
      <c r="S1436" s="21"/>
      <c r="T1436" s="31" t="n">
        <v>45893</v>
      </c>
      <c r="U1436" s="34"/>
    </row>
    <row r="1437" s="25" customFormat="true" ht="41.4" hidden="false" customHeight="false" outlineLevel="0" collapsed="false">
      <c r="A1437" s="36" t="s">
        <v>3195</v>
      </c>
      <c r="B1437" s="26"/>
      <c r="C1437" s="14" t="s">
        <v>1088</v>
      </c>
      <c r="D1437" s="15" t="n">
        <v>6</v>
      </c>
      <c r="E1437" s="27" t="n">
        <f aca="false">F1437/2</f>
        <v>8190</v>
      </c>
      <c r="F1437" s="16" t="n">
        <v>16380</v>
      </c>
      <c r="G1437" s="15" t="s">
        <v>36</v>
      </c>
      <c r="H1437" s="17" t="s">
        <v>25</v>
      </c>
      <c r="I1437" s="18" t="s">
        <v>26</v>
      </c>
      <c r="J1437" s="15"/>
      <c r="K1437" s="19" t="s">
        <v>27</v>
      </c>
      <c r="L1437" s="15" t="s">
        <v>28</v>
      </c>
      <c r="M1437" s="15" t="s">
        <v>33</v>
      </c>
      <c r="N1437" s="20" t="s">
        <v>511</v>
      </c>
      <c r="O1437" s="15"/>
      <c r="P1437" s="15"/>
      <c r="Q1437" s="21"/>
      <c r="R1437" s="21"/>
      <c r="S1437" s="21"/>
      <c r="T1437" s="28"/>
      <c r="U1437" s="34"/>
    </row>
    <row r="1438" s="25" customFormat="true" ht="41.4" hidden="false" customHeight="false" outlineLevel="0" collapsed="false">
      <c r="A1438" s="36" t="s">
        <v>3196</v>
      </c>
      <c r="B1438" s="26"/>
      <c r="C1438" s="14" t="s">
        <v>3197</v>
      </c>
      <c r="D1438" s="15" t="n">
        <v>4</v>
      </c>
      <c r="E1438" s="27" t="n">
        <f aca="false">F1438/2</f>
        <v>5741</v>
      </c>
      <c r="F1438" s="16" t="n">
        <v>11482</v>
      </c>
      <c r="G1438" s="15" t="s">
        <v>36</v>
      </c>
      <c r="H1438" s="17" t="s">
        <v>25</v>
      </c>
      <c r="I1438" s="18" t="s">
        <v>26</v>
      </c>
      <c r="J1438" s="15" t="n">
        <v>2023</v>
      </c>
      <c r="K1438" s="19" t="s">
        <v>27</v>
      </c>
      <c r="L1438" s="15" t="s">
        <v>28</v>
      </c>
      <c r="M1438" s="15" t="s">
        <v>33</v>
      </c>
      <c r="N1438" s="17"/>
      <c r="O1438" s="15"/>
      <c r="P1438" s="15"/>
      <c r="Q1438" s="21"/>
      <c r="R1438" s="21"/>
      <c r="S1438" s="21"/>
      <c r="T1438" s="28"/>
      <c r="U1438" s="24"/>
    </row>
    <row r="1439" s="25" customFormat="true" ht="41.4" hidden="false" customHeight="false" outlineLevel="0" collapsed="false">
      <c r="A1439" s="36" t="s">
        <v>3198</v>
      </c>
      <c r="B1439" s="26" t="s">
        <v>3199</v>
      </c>
      <c r="C1439" s="14" t="s">
        <v>226</v>
      </c>
      <c r="D1439" s="15" t="n">
        <v>12</v>
      </c>
      <c r="E1439" s="27" t="n">
        <f aca="false">F1439/2</f>
        <v>2340</v>
      </c>
      <c r="F1439" s="16" t="n">
        <f aca="false">3900*1.2</f>
        <v>4680</v>
      </c>
      <c r="G1439" s="15" t="s">
        <v>354</v>
      </c>
      <c r="H1439" s="17" t="s">
        <v>25</v>
      </c>
      <c r="I1439" s="18" t="s">
        <v>26</v>
      </c>
      <c r="J1439" s="15" t="n">
        <v>1997</v>
      </c>
      <c r="K1439" s="19" t="s">
        <v>27</v>
      </c>
      <c r="L1439" s="15" t="s">
        <v>28</v>
      </c>
      <c r="M1439" s="15" t="s">
        <v>33</v>
      </c>
      <c r="N1439" s="17" t="s">
        <v>40</v>
      </c>
      <c r="O1439" s="15"/>
      <c r="P1439" s="15"/>
      <c r="Q1439" s="21" t="s">
        <v>41</v>
      </c>
      <c r="R1439" s="21"/>
      <c r="S1439" s="21"/>
      <c r="T1439" s="28"/>
      <c r="U1439" s="24" t="s">
        <v>3200</v>
      </c>
    </row>
    <row r="1440" s="25" customFormat="true" ht="41.4" hidden="false" customHeight="false" outlineLevel="0" collapsed="false">
      <c r="A1440" s="36" t="s">
        <v>3201</v>
      </c>
      <c r="B1440" s="26"/>
      <c r="C1440" s="14" t="s">
        <v>107</v>
      </c>
      <c r="D1440" s="15" t="n">
        <v>4</v>
      </c>
      <c r="E1440" s="27" t="n">
        <f aca="false">F1440/2</f>
        <v>857.5</v>
      </c>
      <c r="F1440" s="16" t="n">
        <v>1715</v>
      </c>
      <c r="G1440" s="15" t="s">
        <v>36</v>
      </c>
      <c r="H1440" s="17" t="s">
        <v>25</v>
      </c>
      <c r="I1440" s="18" t="s">
        <v>26</v>
      </c>
      <c r="J1440" s="15" t="n">
        <v>2025</v>
      </c>
      <c r="K1440" s="19" t="s">
        <v>108</v>
      </c>
      <c r="L1440" s="15" t="s">
        <v>28</v>
      </c>
      <c r="M1440" s="15" t="s">
        <v>33</v>
      </c>
      <c r="N1440" s="17"/>
      <c r="O1440" s="15"/>
      <c r="P1440" s="15"/>
      <c r="Q1440" s="21"/>
      <c r="R1440" s="21"/>
      <c r="S1440" s="21"/>
      <c r="T1440" s="31" t="n">
        <v>45884</v>
      </c>
      <c r="U1440" s="24"/>
    </row>
    <row r="1441" s="25" customFormat="true" ht="41.4" hidden="false" customHeight="false" outlineLevel="0" collapsed="false">
      <c r="A1441" s="36" t="s">
        <v>3202</v>
      </c>
      <c r="B1441" s="26"/>
      <c r="C1441" s="14" t="s">
        <v>864</v>
      </c>
      <c r="D1441" s="15" t="n">
        <v>4</v>
      </c>
      <c r="E1441" s="16" t="n">
        <f aca="false">F1441/2</f>
        <v>50</v>
      </c>
      <c r="F1441" s="16" t="n">
        <v>100</v>
      </c>
      <c r="G1441" s="15" t="s">
        <v>36</v>
      </c>
      <c r="H1441" s="17" t="s">
        <v>25</v>
      </c>
      <c r="I1441" s="18" t="s">
        <v>26</v>
      </c>
      <c r="J1441" s="15" t="n">
        <v>2025</v>
      </c>
      <c r="K1441" s="19" t="s">
        <v>553</v>
      </c>
      <c r="L1441" s="15" t="s">
        <v>28</v>
      </c>
      <c r="M1441" s="15" t="s">
        <v>33</v>
      </c>
      <c r="N1441" s="17"/>
      <c r="O1441" s="15"/>
      <c r="P1441" s="15"/>
      <c r="Q1441" s="21"/>
      <c r="R1441" s="21"/>
      <c r="S1441" s="21"/>
      <c r="T1441" s="28"/>
      <c r="U1441" s="24"/>
    </row>
    <row r="1442" s="25" customFormat="true" ht="41.4" hidden="false" customHeight="false" outlineLevel="0" collapsed="false">
      <c r="A1442" s="36" t="s">
        <v>3203</v>
      </c>
      <c r="B1442" s="26" t="s">
        <v>3204</v>
      </c>
      <c r="C1442" s="14" t="s">
        <v>3137</v>
      </c>
      <c r="D1442" s="15" t="n">
        <v>6</v>
      </c>
      <c r="E1442" s="27" t="n">
        <f aca="false">F1442/2</f>
        <v>7290</v>
      </c>
      <c r="F1442" s="16" t="n">
        <v>14580</v>
      </c>
      <c r="G1442" s="15" t="s">
        <v>36</v>
      </c>
      <c r="H1442" s="17" t="s">
        <v>25</v>
      </c>
      <c r="I1442" s="18" t="s">
        <v>26</v>
      </c>
      <c r="J1442" s="15" t="n">
        <v>2022</v>
      </c>
      <c r="K1442" s="19" t="s">
        <v>27</v>
      </c>
      <c r="L1442" s="15" t="s">
        <v>28</v>
      </c>
      <c r="M1442" s="15" t="s">
        <v>33</v>
      </c>
      <c r="N1442" s="17"/>
      <c r="O1442" s="15"/>
      <c r="P1442" s="15"/>
      <c r="Q1442" s="21"/>
      <c r="R1442" s="21"/>
      <c r="S1442" s="21"/>
      <c r="T1442" s="28"/>
      <c r="U1442" s="24"/>
    </row>
    <row r="1443" s="25" customFormat="true" ht="41.4" hidden="false" customHeight="false" outlineLevel="0" collapsed="false">
      <c r="A1443" s="36" t="s">
        <v>3205</v>
      </c>
      <c r="B1443" s="26" t="s">
        <v>3206</v>
      </c>
      <c r="C1443" s="14" t="s">
        <v>3207</v>
      </c>
      <c r="D1443" s="15" t="n">
        <v>2</v>
      </c>
      <c r="E1443" s="27" t="n">
        <f aca="false">F1443/2</f>
        <v>340</v>
      </c>
      <c r="F1443" s="16" t="n">
        <v>680</v>
      </c>
      <c r="G1443" s="15" t="s">
        <v>36</v>
      </c>
      <c r="H1443" s="17" t="s">
        <v>25</v>
      </c>
      <c r="I1443" s="18" t="s">
        <v>26</v>
      </c>
      <c r="J1443" s="15" t="n">
        <v>2017</v>
      </c>
      <c r="K1443" s="19" t="s">
        <v>27</v>
      </c>
      <c r="L1443" s="15" t="s">
        <v>28</v>
      </c>
      <c r="M1443" s="15" t="s">
        <v>33</v>
      </c>
      <c r="N1443" s="17"/>
      <c r="O1443" s="15"/>
      <c r="P1443" s="15"/>
      <c r="Q1443" s="21"/>
      <c r="R1443" s="21"/>
      <c r="S1443" s="21"/>
      <c r="T1443" s="28"/>
      <c r="U1443" s="24"/>
    </row>
    <row r="1444" s="25" customFormat="true" ht="41.4" hidden="false" customHeight="false" outlineLevel="0" collapsed="false">
      <c r="A1444" s="36" t="s">
        <v>3208</v>
      </c>
      <c r="B1444" s="26" t="s">
        <v>3209</v>
      </c>
      <c r="C1444" s="14" t="s">
        <v>335</v>
      </c>
      <c r="D1444" s="15" t="n">
        <v>4</v>
      </c>
      <c r="E1444" s="27" t="n">
        <f aca="false">F1444/2</f>
        <v>14400</v>
      </c>
      <c r="F1444" s="16" t="n">
        <f aca="false">4*7200</f>
        <v>28800</v>
      </c>
      <c r="G1444" s="15" t="s">
        <v>36</v>
      </c>
      <c r="H1444" s="17" t="s">
        <v>25</v>
      </c>
      <c r="I1444" s="18" t="s">
        <v>26</v>
      </c>
      <c r="J1444" s="15" t="n">
        <v>2020</v>
      </c>
      <c r="K1444" s="19" t="s">
        <v>27</v>
      </c>
      <c r="L1444" s="15" t="s">
        <v>28</v>
      </c>
      <c r="M1444" s="15" t="s">
        <v>33</v>
      </c>
      <c r="N1444" s="20"/>
      <c r="O1444" s="15" t="s">
        <v>250</v>
      </c>
      <c r="P1444" s="15"/>
      <c r="Q1444" s="21"/>
      <c r="R1444" s="21"/>
      <c r="S1444" s="21"/>
      <c r="T1444" s="28"/>
      <c r="U1444" s="34"/>
    </row>
    <row r="1445" s="25" customFormat="true" ht="41.4" hidden="false" customHeight="false" outlineLevel="0" collapsed="false">
      <c r="A1445" s="36" t="s">
        <v>3210</v>
      </c>
      <c r="B1445" s="26"/>
      <c r="C1445" s="70" t="s">
        <v>122</v>
      </c>
      <c r="D1445" s="15" t="n">
        <v>12</v>
      </c>
      <c r="E1445" s="27" t="n">
        <v>14190</v>
      </c>
      <c r="F1445" s="16" t="n">
        <v>28380</v>
      </c>
      <c r="G1445" s="15" t="s">
        <v>36</v>
      </c>
      <c r="H1445" s="17" t="s">
        <v>25</v>
      </c>
      <c r="I1445" s="18" t="s">
        <v>26</v>
      </c>
      <c r="J1445" s="15" t="n">
        <v>2025</v>
      </c>
      <c r="K1445" s="19" t="s">
        <v>27</v>
      </c>
      <c r="L1445" s="15" t="s">
        <v>28</v>
      </c>
      <c r="M1445" s="15" t="s">
        <v>33</v>
      </c>
      <c r="N1445" s="17"/>
      <c r="O1445" s="15"/>
      <c r="P1445" s="15"/>
      <c r="Q1445" s="21"/>
      <c r="R1445" s="21"/>
      <c r="S1445" s="21"/>
      <c r="T1445" s="28"/>
      <c r="U1445" s="24"/>
    </row>
    <row r="1446" s="25" customFormat="true" ht="41.4" hidden="false" customHeight="false" outlineLevel="0" collapsed="false">
      <c r="A1446" s="36" t="s">
        <v>3211</v>
      </c>
      <c r="B1446" s="26"/>
      <c r="C1446" s="14" t="s">
        <v>1724</v>
      </c>
      <c r="D1446" s="15" t="n">
        <v>6</v>
      </c>
      <c r="E1446" s="16" t="n">
        <f aca="false">F1446/2</f>
        <v>1183.5</v>
      </c>
      <c r="F1446" s="16" t="n">
        <f aca="false">CEILING(1972*1.2,1)</f>
        <v>2367</v>
      </c>
      <c r="G1446" s="15" t="s">
        <v>36</v>
      </c>
      <c r="H1446" s="17" t="s">
        <v>25</v>
      </c>
      <c r="I1446" s="18" t="s">
        <v>26</v>
      </c>
      <c r="J1446" s="15" t="n">
        <v>2024</v>
      </c>
      <c r="K1446" s="19" t="s">
        <v>1725</v>
      </c>
      <c r="L1446" s="15" t="s">
        <v>28</v>
      </c>
      <c r="M1446" s="15" t="s">
        <v>33</v>
      </c>
      <c r="N1446" s="17"/>
      <c r="O1446" s="15"/>
      <c r="P1446" s="15"/>
      <c r="Q1446" s="21"/>
      <c r="R1446" s="21"/>
      <c r="S1446" s="21"/>
      <c r="T1446" s="28"/>
      <c r="U1446" s="24"/>
    </row>
    <row r="1447" s="25" customFormat="true" ht="41.4" hidden="false" customHeight="false" outlineLevel="0" collapsed="false">
      <c r="A1447" s="36" t="s">
        <v>3212</v>
      </c>
      <c r="B1447" s="26"/>
      <c r="C1447" s="14" t="s">
        <v>3213</v>
      </c>
      <c r="D1447" s="15" t="n">
        <v>4</v>
      </c>
      <c r="E1447" s="16" t="n">
        <f aca="false">F1447/2</f>
        <v>6506</v>
      </c>
      <c r="F1447" s="16" t="n">
        <v>13012</v>
      </c>
      <c r="G1447" s="15" t="s">
        <v>36</v>
      </c>
      <c r="H1447" s="17" t="s">
        <v>25</v>
      </c>
      <c r="I1447" s="18" t="s">
        <v>26</v>
      </c>
      <c r="J1447" s="15" t="n">
        <v>2024</v>
      </c>
      <c r="K1447" s="19" t="s">
        <v>27</v>
      </c>
      <c r="L1447" s="15" t="s">
        <v>28</v>
      </c>
      <c r="M1447" s="15" t="s">
        <v>33</v>
      </c>
      <c r="N1447" s="17"/>
      <c r="O1447" s="15"/>
      <c r="P1447" s="15"/>
      <c r="Q1447" s="21"/>
      <c r="R1447" s="21"/>
      <c r="S1447" s="21"/>
      <c r="T1447" s="28"/>
      <c r="U1447" s="24"/>
    </row>
    <row r="1448" s="25" customFormat="true" ht="41.4" hidden="false" customHeight="false" outlineLevel="0" collapsed="false">
      <c r="A1448" s="36" t="s">
        <v>3214</v>
      </c>
      <c r="B1448" s="26" t="s">
        <v>3215</v>
      </c>
      <c r="C1448" s="14" t="s">
        <v>1065</v>
      </c>
      <c r="D1448" s="15" t="n">
        <v>12</v>
      </c>
      <c r="E1448" s="27" t="n">
        <f aca="false">F1448/2</f>
        <v>62055</v>
      </c>
      <c r="F1448" s="16" t="n">
        <f aca="false">118200*1.05</f>
        <v>124110</v>
      </c>
      <c r="G1448" s="15" t="s">
        <v>36</v>
      </c>
      <c r="H1448" s="17" t="s">
        <v>25</v>
      </c>
      <c r="I1448" s="18" t="s">
        <v>26</v>
      </c>
      <c r="J1448" s="15" t="n">
        <v>2017</v>
      </c>
      <c r="K1448" s="19" t="s">
        <v>27</v>
      </c>
      <c r="L1448" s="15" t="s">
        <v>28</v>
      </c>
      <c r="M1448" s="15" t="s">
        <v>33</v>
      </c>
      <c r="N1448" s="17" t="s">
        <v>126</v>
      </c>
      <c r="O1448" s="15"/>
      <c r="P1448" s="15"/>
      <c r="Q1448" s="21" t="s">
        <v>78</v>
      </c>
      <c r="R1448" s="21"/>
      <c r="S1448" s="21"/>
      <c r="T1448" s="31" t="n">
        <v>45856</v>
      </c>
      <c r="U1448" s="24"/>
    </row>
    <row r="1449" s="25" customFormat="true" ht="41.4" hidden="false" customHeight="false" outlineLevel="0" collapsed="false">
      <c r="A1449" s="36" t="s">
        <v>3216</v>
      </c>
      <c r="B1449" s="26" t="s">
        <v>3217</v>
      </c>
      <c r="C1449" s="70"/>
      <c r="D1449" s="15" t="n">
        <v>52</v>
      </c>
      <c r="E1449" s="27" t="n">
        <v>1050</v>
      </c>
      <c r="F1449" s="16" t="n">
        <v>2100</v>
      </c>
      <c r="G1449" s="15" t="s">
        <v>354</v>
      </c>
      <c r="H1449" s="17" t="s">
        <v>25</v>
      </c>
      <c r="I1449" s="18" t="s">
        <v>26</v>
      </c>
      <c r="J1449" s="15" t="n">
        <v>1999</v>
      </c>
      <c r="K1449" s="19" t="s">
        <v>3218</v>
      </c>
      <c r="L1449" s="15" t="s">
        <v>103</v>
      </c>
      <c r="M1449" s="15" t="s">
        <v>33</v>
      </c>
      <c r="N1449" s="17" t="s">
        <v>40</v>
      </c>
      <c r="O1449" s="15"/>
      <c r="P1449" s="15"/>
      <c r="Q1449" s="21" t="s">
        <v>41</v>
      </c>
      <c r="R1449" s="21"/>
      <c r="S1449" s="21"/>
      <c r="T1449" s="28"/>
      <c r="U1449" s="24" t="s">
        <v>3219</v>
      </c>
    </row>
    <row r="1450" s="25" customFormat="true" ht="41.4" hidden="false" customHeight="false" outlineLevel="0" collapsed="false">
      <c r="A1450" s="63" t="s">
        <v>3220</v>
      </c>
      <c r="B1450" s="26" t="s">
        <v>3221</v>
      </c>
      <c r="C1450" s="14" t="s">
        <v>264</v>
      </c>
      <c r="D1450" s="30" t="n">
        <v>12</v>
      </c>
      <c r="E1450" s="16" t="n">
        <f aca="false">F1450/2</f>
        <v>47709</v>
      </c>
      <c r="F1450" s="16" t="n">
        <f aca="false">102600*0.93</f>
        <v>95418</v>
      </c>
      <c r="G1450" s="15" t="s">
        <v>36</v>
      </c>
      <c r="H1450" s="17" t="s">
        <v>25</v>
      </c>
      <c r="I1450" s="18" t="s">
        <v>26</v>
      </c>
      <c r="J1450" s="15" t="n">
        <v>2024</v>
      </c>
      <c r="K1450" s="19" t="s">
        <v>27</v>
      </c>
      <c r="L1450" s="15" t="s">
        <v>28</v>
      </c>
      <c r="M1450" s="15" t="s">
        <v>33</v>
      </c>
      <c r="N1450" s="30"/>
      <c r="O1450" s="60"/>
      <c r="P1450" s="60"/>
      <c r="Q1450" s="21"/>
      <c r="R1450" s="21"/>
      <c r="S1450" s="40"/>
      <c r="T1450" s="31" t="n">
        <v>45880</v>
      </c>
      <c r="U1450" s="41"/>
    </row>
    <row r="1451" s="25" customFormat="true" ht="41.4" hidden="false" customHeight="false" outlineLevel="0" collapsed="false">
      <c r="A1451" s="36" t="s">
        <v>3222</v>
      </c>
      <c r="B1451" s="26" t="s">
        <v>3223</v>
      </c>
      <c r="C1451" s="70" t="s">
        <v>1146</v>
      </c>
      <c r="D1451" s="15" t="n">
        <v>6</v>
      </c>
      <c r="E1451" s="27" t="n">
        <f aca="false">F1451/2</f>
        <v>1782</v>
      </c>
      <c r="F1451" s="16" t="n">
        <v>3564</v>
      </c>
      <c r="G1451" s="15" t="s">
        <v>36</v>
      </c>
      <c r="H1451" s="17" t="s">
        <v>25</v>
      </c>
      <c r="I1451" s="18" t="s">
        <v>26</v>
      </c>
      <c r="J1451" s="15" t="n">
        <v>2022</v>
      </c>
      <c r="K1451" s="19" t="s">
        <v>27</v>
      </c>
      <c r="L1451" s="15" t="s">
        <v>28</v>
      </c>
      <c r="M1451" s="15" t="s">
        <v>33</v>
      </c>
      <c r="N1451" s="17" t="s">
        <v>83</v>
      </c>
      <c r="O1451" s="15"/>
      <c r="P1451" s="15"/>
      <c r="Q1451" s="21"/>
      <c r="R1451" s="21"/>
      <c r="S1451" s="21"/>
      <c r="T1451" s="28"/>
      <c r="U1451" s="24"/>
    </row>
    <row r="1452" s="25" customFormat="true" ht="55.2" hidden="false" customHeight="false" outlineLevel="0" collapsed="false">
      <c r="A1452" s="36" t="s">
        <v>3224</v>
      </c>
      <c r="B1452" s="26" t="s">
        <v>3225</v>
      </c>
      <c r="C1452" s="14" t="s">
        <v>3226</v>
      </c>
      <c r="D1452" s="15" t="n">
        <v>4</v>
      </c>
      <c r="E1452" s="27" t="n">
        <f aca="false">F1452/2</f>
        <v>900</v>
      </c>
      <c r="F1452" s="16" t="n">
        <v>1800</v>
      </c>
      <c r="G1452" s="15" t="s">
        <v>24</v>
      </c>
      <c r="H1452" s="17" t="s">
        <v>25</v>
      </c>
      <c r="I1452" s="18" t="s">
        <v>26</v>
      </c>
      <c r="J1452" s="15" t="n">
        <v>2017</v>
      </c>
      <c r="K1452" s="19" t="s">
        <v>65</v>
      </c>
      <c r="L1452" s="15" t="s">
        <v>28</v>
      </c>
      <c r="M1452" s="15" t="s">
        <v>33</v>
      </c>
      <c r="N1452" s="17" t="s">
        <v>83</v>
      </c>
      <c r="O1452" s="15"/>
      <c r="P1452" s="15"/>
      <c r="Q1452" s="21" t="s">
        <v>302</v>
      </c>
      <c r="R1452" s="21"/>
      <c r="S1452" s="21"/>
      <c r="T1452" s="28"/>
      <c r="U1452" s="24"/>
    </row>
    <row r="1453" s="25" customFormat="true" ht="41.4" hidden="false" customHeight="false" outlineLevel="0" collapsed="false">
      <c r="A1453" s="36" t="s">
        <v>3227</v>
      </c>
      <c r="B1453" s="26" t="s">
        <v>3228</v>
      </c>
      <c r="C1453" s="14" t="s">
        <v>260</v>
      </c>
      <c r="D1453" s="15" t="n">
        <v>52</v>
      </c>
      <c r="E1453" s="27" t="n">
        <f aca="false">F1453/2</f>
        <v>5756</v>
      </c>
      <c r="F1453" s="16" t="n">
        <v>11512</v>
      </c>
      <c r="G1453" s="15" t="s">
        <v>36</v>
      </c>
      <c r="H1453" s="17" t="s">
        <v>25</v>
      </c>
      <c r="I1453" s="18" t="s">
        <v>26</v>
      </c>
      <c r="J1453" s="15" t="n">
        <v>2021</v>
      </c>
      <c r="K1453" s="19" t="s">
        <v>27</v>
      </c>
      <c r="L1453" s="15" t="s">
        <v>103</v>
      </c>
      <c r="M1453" s="15" t="s">
        <v>33</v>
      </c>
      <c r="N1453" s="20" t="s">
        <v>257</v>
      </c>
      <c r="O1453" s="15"/>
      <c r="P1453" s="15"/>
      <c r="Q1453" s="21"/>
      <c r="R1453" s="21"/>
      <c r="S1453" s="21"/>
      <c r="T1453" s="31" t="n">
        <v>45909</v>
      </c>
      <c r="U1453" s="34"/>
    </row>
    <row r="1454" s="25" customFormat="true" ht="41.4" hidden="false" customHeight="false" outlineLevel="0" collapsed="false">
      <c r="A1454" s="36" t="s">
        <v>3229</v>
      </c>
      <c r="B1454" s="26" t="s">
        <v>3230</v>
      </c>
      <c r="C1454" s="14" t="s">
        <v>122</v>
      </c>
      <c r="D1454" s="15" t="n">
        <v>12</v>
      </c>
      <c r="E1454" s="27" t="n">
        <v>23628</v>
      </c>
      <c r="F1454" s="16" t="n">
        <v>39204</v>
      </c>
      <c r="G1454" s="15" t="s">
        <v>36</v>
      </c>
      <c r="H1454" s="17" t="s">
        <v>25</v>
      </c>
      <c r="I1454" s="18" t="s">
        <v>26</v>
      </c>
      <c r="J1454" s="15" t="n">
        <v>2017</v>
      </c>
      <c r="K1454" s="19" t="s">
        <v>27</v>
      </c>
      <c r="L1454" s="15" t="s">
        <v>28</v>
      </c>
      <c r="M1454" s="15" t="s">
        <v>33</v>
      </c>
      <c r="N1454" s="17" t="s">
        <v>257</v>
      </c>
      <c r="O1454" s="15"/>
      <c r="P1454" s="15"/>
      <c r="Q1454" s="21"/>
      <c r="R1454" s="21"/>
      <c r="S1454" s="21"/>
      <c r="T1454" s="28"/>
      <c r="U1454" s="24"/>
    </row>
    <row r="1455" s="25" customFormat="true" ht="41.4" hidden="false" customHeight="false" outlineLevel="0" collapsed="false">
      <c r="A1455" s="36" t="s">
        <v>3231</v>
      </c>
      <c r="B1455" s="26"/>
      <c r="C1455" s="14" t="s">
        <v>122</v>
      </c>
      <c r="D1455" s="15" t="n">
        <v>12</v>
      </c>
      <c r="E1455" s="27" t="n">
        <v>14190</v>
      </c>
      <c r="F1455" s="16" t="n">
        <v>28380</v>
      </c>
      <c r="G1455" s="15" t="s">
        <v>36</v>
      </c>
      <c r="H1455" s="17" t="s">
        <v>25</v>
      </c>
      <c r="I1455" s="18" t="s">
        <v>26</v>
      </c>
      <c r="J1455" s="15" t="n">
        <v>2025</v>
      </c>
      <c r="K1455" s="19" t="s">
        <v>27</v>
      </c>
      <c r="L1455" s="15" t="s">
        <v>28</v>
      </c>
      <c r="M1455" s="15" t="s">
        <v>33</v>
      </c>
      <c r="N1455" s="17"/>
      <c r="O1455" s="15"/>
      <c r="P1455" s="15"/>
      <c r="Q1455" s="21"/>
      <c r="R1455" s="21"/>
      <c r="S1455" s="21"/>
      <c r="T1455" s="28"/>
      <c r="U1455" s="24"/>
    </row>
    <row r="1456" s="25" customFormat="true" ht="41.4" hidden="false" customHeight="false" outlineLevel="0" collapsed="false">
      <c r="A1456" s="36" t="s">
        <v>3232</v>
      </c>
      <c r="B1456" s="26" t="s">
        <v>3233</v>
      </c>
      <c r="C1456" s="14" t="s">
        <v>3234</v>
      </c>
      <c r="D1456" s="15" t="n">
        <v>4</v>
      </c>
      <c r="E1456" s="27" t="n">
        <f aca="false">F1456/2</f>
        <v>1500</v>
      </c>
      <c r="F1456" s="16" t="n">
        <v>3000</v>
      </c>
      <c r="G1456" s="15" t="s">
        <v>36</v>
      </c>
      <c r="H1456" s="17" t="s">
        <v>25</v>
      </c>
      <c r="I1456" s="18" t="s">
        <v>26</v>
      </c>
      <c r="J1456" s="15" t="n">
        <v>2023</v>
      </c>
      <c r="K1456" s="19" t="s">
        <v>27</v>
      </c>
      <c r="L1456" s="15" t="s">
        <v>28</v>
      </c>
      <c r="M1456" s="15" t="s">
        <v>33</v>
      </c>
      <c r="N1456" s="17" t="s">
        <v>257</v>
      </c>
      <c r="O1456" s="15"/>
      <c r="P1456" s="15"/>
      <c r="Q1456" s="21" t="s">
        <v>78</v>
      </c>
      <c r="R1456" s="21"/>
      <c r="S1456" s="21"/>
      <c r="T1456" s="28"/>
      <c r="U1456" s="24"/>
    </row>
    <row r="1457" s="25" customFormat="true" ht="41.4" hidden="false" customHeight="false" outlineLevel="0" collapsed="false">
      <c r="A1457" s="36" t="s">
        <v>3235</v>
      </c>
      <c r="B1457" s="26" t="s">
        <v>3236</v>
      </c>
      <c r="C1457" s="14" t="s">
        <v>2580</v>
      </c>
      <c r="D1457" s="15" t="n">
        <v>6</v>
      </c>
      <c r="E1457" s="27" t="n">
        <v>8000</v>
      </c>
      <c r="F1457" s="16" t="n">
        <v>15000</v>
      </c>
      <c r="G1457" s="15" t="s">
        <v>36</v>
      </c>
      <c r="H1457" s="17" t="s">
        <v>25</v>
      </c>
      <c r="I1457" s="18" t="s">
        <v>26</v>
      </c>
      <c r="J1457" s="15" t="n">
        <v>2017</v>
      </c>
      <c r="K1457" s="19" t="s">
        <v>1325</v>
      </c>
      <c r="L1457" s="15" t="s">
        <v>28</v>
      </c>
      <c r="M1457" s="15" t="s">
        <v>33</v>
      </c>
      <c r="N1457" s="17" t="s">
        <v>153</v>
      </c>
      <c r="O1457" s="15"/>
      <c r="P1457" s="15"/>
      <c r="Q1457" s="21"/>
      <c r="R1457" s="21"/>
      <c r="S1457" s="21"/>
      <c r="T1457" s="28"/>
      <c r="U1457" s="24"/>
    </row>
    <row r="1458" s="25" customFormat="true" ht="41.4" hidden="false" customHeight="false" outlineLevel="0" collapsed="false">
      <c r="A1458" s="12" t="s">
        <v>3237</v>
      </c>
      <c r="B1458" s="26" t="s">
        <v>3238</v>
      </c>
      <c r="C1458" s="14"/>
      <c r="D1458" s="15" t="n">
        <v>52</v>
      </c>
      <c r="E1458" s="27" t="n">
        <f aca="false">F1458/2</f>
        <v>1674</v>
      </c>
      <c r="F1458" s="16" t="n">
        <v>3348</v>
      </c>
      <c r="G1458" s="15" t="s">
        <v>354</v>
      </c>
      <c r="H1458" s="17" t="s">
        <v>25</v>
      </c>
      <c r="I1458" s="18" t="s">
        <v>26</v>
      </c>
      <c r="J1458" s="15" t="n">
        <v>2004</v>
      </c>
      <c r="K1458" s="19" t="s">
        <v>27</v>
      </c>
      <c r="L1458" s="15" t="s">
        <v>103</v>
      </c>
      <c r="M1458" s="15" t="s">
        <v>33</v>
      </c>
      <c r="N1458" s="17" t="s">
        <v>343</v>
      </c>
      <c r="O1458" s="15"/>
      <c r="P1458" s="15"/>
      <c r="Q1458" s="21" t="s">
        <v>344</v>
      </c>
      <c r="R1458" s="21"/>
      <c r="S1458" s="21"/>
      <c r="T1458" s="28"/>
      <c r="U1458" s="24" t="s">
        <v>3239</v>
      </c>
    </row>
    <row r="1459" s="25" customFormat="true" ht="41.4" hidden="false" customHeight="false" outlineLevel="0" collapsed="false">
      <c r="A1459" s="36" t="s">
        <v>3240</v>
      </c>
      <c r="B1459" s="26" t="s">
        <v>3241</v>
      </c>
      <c r="C1459" s="14"/>
      <c r="D1459" s="15" t="n">
        <v>95</v>
      </c>
      <c r="E1459" s="27" t="n">
        <f aca="false">F1459/2</f>
        <v>1150</v>
      </c>
      <c r="F1459" s="16" t="n">
        <v>2300</v>
      </c>
      <c r="G1459" s="15" t="s">
        <v>354</v>
      </c>
      <c r="H1459" s="17" t="s">
        <v>25</v>
      </c>
      <c r="I1459" s="18" t="s">
        <v>26</v>
      </c>
      <c r="J1459" s="15" t="n">
        <v>1997</v>
      </c>
      <c r="K1459" s="19" t="s">
        <v>27</v>
      </c>
      <c r="L1459" s="15" t="s">
        <v>103</v>
      </c>
      <c r="M1459" s="15" t="s">
        <v>33</v>
      </c>
      <c r="N1459" s="17" t="s">
        <v>343</v>
      </c>
      <c r="O1459" s="15"/>
      <c r="P1459" s="15"/>
      <c r="Q1459" s="21" t="s">
        <v>344</v>
      </c>
      <c r="R1459" s="21"/>
      <c r="S1459" s="21"/>
      <c r="T1459" s="28"/>
      <c r="U1459" s="24" t="s">
        <v>3242</v>
      </c>
    </row>
    <row r="1460" s="25" customFormat="true" ht="41.4" hidden="false" customHeight="false" outlineLevel="0" collapsed="false">
      <c r="A1460" s="59" t="s">
        <v>3243</v>
      </c>
      <c r="B1460" s="26" t="s">
        <v>3244</v>
      </c>
      <c r="C1460" s="14" t="s">
        <v>283</v>
      </c>
      <c r="D1460" s="15" t="n">
        <v>12</v>
      </c>
      <c r="E1460" s="27" t="n">
        <f aca="false">F1460/2</f>
        <v>14040</v>
      </c>
      <c r="F1460" s="16" t="n">
        <f aca="false">23400*1.2</f>
        <v>28080</v>
      </c>
      <c r="G1460" s="15" t="s">
        <v>36</v>
      </c>
      <c r="H1460" s="17" t="s">
        <v>25</v>
      </c>
      <c r="I1460" s="18" t="s">
        <v>26</v>
      </c>
      <c r="J1460" s="15" t="n">
        <v>2023</v>
      </c>
      <c r="K1460" s="19" t="s">
        <v>27</v>
      </c>
      <c r="L1460" s="15" t="s">
        <v>28</v>
      </c>
      <c r="M1460" s="15" t="s">
        <v>33</v>
      </c>
      <c r="N1460" s="17" t="s">
        <v>72</v>
      </c>
      <c r="O1460" s="15"/>
      <c r="P1460" s="15"/>
      <c r="Q1460" s="21"/>
      <c r="R1460" s="21"/>
      <c r="S1460" s="21"/>
      <c r="T1460" s="28"/>
      <c r="U1460" s="24"/>
    </row>
    <row r="1461" s="25" customFormat="true" ht="41.4" hidden="false" customHeight="false" outlineLevel="0" collapsed="false">
      <c r="A1461" s="36" t="s">
        <v>3245</v>
      </c>
      <c r="B1461" s="26"/>
      <c r="C1461" s="14" t="s">
        <v>122</v>
      </c>
      <c r="D1461" s="15" t="n">
        <v>12</v>
      </c>
      <c r="E1461" s="27" t="n">
        <v>23628</v>
      </c>
      <c r="F1461" s="16" t="n">
        <v>39204</v>
      </c>
      <c r="G1461" s="15" t="s">
        <v>36</v>
      </c>
      <c r="H1461" s="17" t="s">
        <v>25</v>
      </c>
      <c r="I1461" s="18" t="s">
        <v>26</v>
      </c>
      <c r="J1461" s="15" t="n">
        <v>2023</v>
      </c>
      <c r="K1461" s="19" t="s">
        <v>27</v>
      </c>
      <c r="L1461" s="15" t="s">
        <v>28</v>
      </c>
      <c r="M1461" s="15" t="s">
        <v>33</v>
      </c>
      <c r="N1461" s="17" t="s">
        <v>123</v>
      </c>
      <c r="O1461" s="90"/>
      <c r="P1461" s="90"/>
      <c r="Q1461" s="82"/>
      <c r="R1461" s="82"/>
      <c r="S1461" s="82"/>
      <c r="T1461" s="91"/>
      <c r="U1461" s="92"/>
    </row>
    <row r="1462" s="25" customFormat="true" ht="41.4" hidden="false" customHeight="false" outlineLevel="0" collapsed="false">
      <c r="A1462" s="36" t="s">
        <v>3246</v>
      </c>
      <c r="B1462" s="26"/>
      <c r="C1462" s="14" t="s">
        <v>1276</v>
      </c>
      <c r="D1462" s="15" t="n">
        <v>4</v>
      </c>
      <c r="E1462" s="16" t="n">
        <f aca="false">F1462/2</f>
        <v>13143</v>
      </c>
      <c r="F1462" s="16" t="n">
        <v>26286</v>
      </c>
      <c r="G1462" s="15" t="s">
        <v>36</v>
      </c>
      <c r="H1462" s="17" t="s">
        <v>25</v>
      </c>
      <c r="I1462" s="18" t="s">
        <v>26</v>
      </c>
      <c r="J1462" s="15" t="n">
        <v>2024</v>
      </c>
      <c r="K1462" s="19" t="s">
        <v>27</v>
      </c>
      <c r="L1462" s="15" t="s">
        <v>28</v>
      </c>
      <c r="M1462" s="15" t="s">
        <v>33</v>
      </c>
      <c r="N1462" s="17"/>
      <c r="O1462" s="15"/>
      <c r="P1462" s="15"/>
      <c r="Q1462" s="21"/>
      <c r="R1462" s="21"/>
      <c r="S1462" s="21"/>
      <c r="T1462" s="28"/>
      <c r="U1462" s="34"/>
    </row>
    <row r="1463" s="25" customFormat="true" ht="41.4" hidden="false" customHeight="false" outlineLevel="0" collapsed="false">
      <c r="A1463" s="36" t="s">
        <v>3247</v>
      </c>
      <c r="B1463" s="26"/>
      <c r="C1463" s="14"/>
      <c r="D1463" s="15" t="n">
        <v>2</v>
      </c>
      <c r="E1463" s="16" t="n">
        <f aca="false">F1463/2</f>
        <v>428.5</v>
      </c>
      <c r="F1463" s="16" t="n">
        <v>857</v>
      </c>
      <c r="G1463" s="15" t="s">
        <v>36</v>
      </c>
      <c r="H1463" s="17" t="s">
        <v>25</v>
      </c>
      <c r="I1463" s="18" t="s">
        <v>26</v>
      </c>
      <c r="J1463" s="15" t="n">
        <v>2025</v>
      </c>
      <c r="K1463" s="19" t="s">
        <v>27</v>
      </c>
      <c r="L1463" s="15" t="s">
        <v>28</v>
      </c>
      <c r="M1463" s="15" t="s">
        <v>33</v>
      </c>
      <c r="N1463" s="17"/>
      <c r="O1463" s="15"/>
      <c r="P1463" s="15"/>
      <c r="Q1463" s="21"/>
      <c r="R1463" s="21"/>
      <c r="S1463" s="21"/>
      <c r="T1463" s="28"/>
      <c r="U1463" s="24"/>
    </row>
    <row r="1464" s="25" customFormat="true" ht="41.4" hidden="false" customHeight="false" outlineLevel="0" collapsed="false">
      <c r="A1464" s="36" t="s">
        <v>3248</v>
      </c>
      <c r="B1464" s="26"/>
      <c r="C1464" s="14" t="s">
        <v>157</v>
      </c>
      <c r="D1464" s="15" t="n">
        <v>4</v>
      </c>
      <c r="E1464" s="27" t="n">
        <f aca="false">F1464/2</f>
        <v>600</v>
      </c>
      <c r="F1464" s="16" t="n">
        <v>1200</v>
      </c>
      <c r="G1464" s="15" t="s">
        <v>36</v>
      </c>
      <c r="H1464" s="17" t="s">
        <v>25</v>
      </c>
      <c r="I1464" s="18" t="s">
        <v>26</v>
      </c>
      <c r="J1464" s="15" t="n">
        <v>2023</v>
      </c>
      <c r="K1464" s="19" t="s">
        <v>27</v>
      </c>
      <c r="L1464" s="15" t="s">
        <v>28</v>
      </c>
      <c r="M1464" s="15" t="s">
        <v>33</v>
      </c>
      <c r="N1464" s="20" t="s">
        <v>72</v>
      </c>
      <c r="O1464" s="15"/>
      <c r="P1464" s="15"/>
      <c r="Q1464" s="21"/>
      <c r="R1464" s="21"/>
      <c r="S1464" s="21"/>
      <c r="T1464" s="28"/>
      <c r="U1464" s="34"/>
    </row>
    <row r="1465" s="25" customFormat="true" ht="41.4" hidden="false" customHeight="false" outlineLevel="0" collapsed="false">
      <c r="A1465" s="36" t="s">
        <v>3249</v>
      </c>
      <c r="B1465" s="26" t="s">
        <v>3250</v>
      </c>
      <c r="C1465" s="14" t="s">
        <v>239</v>
      </c>
      <c r="D1465" s="15" t="n">
        <v>4</v>
      </c>
      <c r="E1465" s="27" t="n">
        <f aca="false">F1465/2</f>
        <v>4980</v>
      </c>
      <c r="F1465" s="16" t="n">
        <f aca="false">4*2490</f>
        <v>9960</v>
      </c>
      <c r="G1465" s="15" t="s">
        <v>36</v>
      </c>
      <c r="H1465" s="17" t="s">
        <v>25</v>
      </c>
      <c r="I1465" s="18" t="s">
        <v>26</v>
      </c>
      <c r="J1465" s="15" t="n">
        <v>2020</v>
      </c>
      <c r="K1465" s="19" t="s">
        <v>27</v>
      </c>
      <c r="L1465" s="15" t="s">
        <v>28</v>
      </c>
      <c r="M1465" s="15" t="s">
        <v>33</v>
      </c>
      <c r="N1465" s="20" t="s">
        <v>511</v>
      </c>
      <c r="O1465" s="15"/>
      <c r="P1465" s="15"/>
      <c r="Q1465" s="21"/>
      <c r="R1465" s="21"/>
      <c r="S1465" s="21"/>
      <c r="T1465" s="31" t="n">
        <v>45880</v>
      </c>
      <c r="U1465" s="34"/>
    </row>
    <row r="1466" s="25" customFormat="true" ht="41.4" hidden="false" customHeight="false" outlineLevel="0" collapsed="false">
      <c r="A1466" s="36" t="s">
        <v>3251</v>
      </c>
      <c r="B1466" s="26"/>
      <c r="C1466" s="14" t="s">
        <v>3252</v>
      </c>
      <c r="D1466" s="15" t="n">
        <v>12</v>
      </c>
      <c r="E1466" s="27" t="n">
        <f aca="false">F1466/2</f>
        <v>50</v>
      </c>
      <c r="F1466" s="16" t="n">
        <v>100</v>
      </c>
      <c r="G1466" s="15" t="s">
        <v>36</v>
      </c>
      <c r="H1466" s="17" t="s">
        <v>25</v>
      </c>
      <c r="I1466" s="18" t="s">
        <v>26</v>
      </c>
      <c r="J1466" s="15" t="n">
        <v>2020</v>
      </c>
      <c r="K1466" s="19" t="s">
        <v>27</v>
      </c>
      <c r="L1466" s="15" t="s">
        <v>28</v>
      </c>
      <c r="M1466" s="15" t="s">
        <v>33</v>
      </c>
      <c r="N1466" s="17" t="s">
        <v>83</v>
      </c>
      <c r="O1466" s="15"/>
      <c r="P1466" s="15"/>
      <c r="Q1466" s="21"/>
      <c r="R1466" s="21"/>
      <c r="S1466" s="21"/>
      <c r="T1466" s="28"/>
      <c r="U1466" s="24"/>
    </row>
    <row r="1467" s="25" customFormat="true" ht="41.4" hidden="false" customHeight="false" outlineLevel="0" collapsed="false">
      <c r="A1467" s="36" t="s">
        <v>3253</v>
      </c>
      <c r="B1467" s="26"/>
      <c r="C1467" s="14" t="s">
        <v>122</v>
      </c>
      <c r="D1467" s="15" t="n">
        <v>12</v>
      </c>
      <c r="E1467" s="27" t="n">
        <v>14190</v>
      </c>
      <c r="F1467" s="16" t="n">
        <v>28380</v>
      </c>
      <c r="G1467" s="15" t="s">
        <v>36</v>
      </c>
      <c r="H1467" s="17" t="s">
        <v>25</v>
      </c>
      <c r="I1467" s="18" t="s">
        <v>26</v>
      </c>
      <c r="J1467" s="15" t="n">
        <v>2025</v>
      </c>
      <c r="K1467" s="19" t="s">
        <v>27</v>
      </c>
      <c r="L1467" s="15" t="s">
        <v>28</v>
      </c>
      <c r="M1467" s="15" t="s">
        <v>33</v>
      </c>
      <c r="N1467" s="17"/>
      <c r="O1467" s="15"/>
      <c r="P1467" s="15"/>
      <c r="Q1467" s="21"/>
      <c r="R1467" s="21"/>
      <c r="S1467" s="21"/>
      <c r="T1467" s="28"/>
      <c r="U1467" s="24"/>
    </row>
    <row r="1468" s="25" customFormat="true" ht="41.4" hidden="false" customHeight="false" outlineLevel="0" collapsed="false">
      <c r="A1468" s="36" t="s">
        <v>3254</v>
      </c>
      <c r="B1468" s="26"/>
      <c r="C1468" s="14" t="s">
        <v>864</v>
      </c>
      <c r="D1468" s="15" t="n">
        <v>2</v>
      </c>
      <c r="E1468" s="27" t="n">
        <f aca="false">F1468/2</f>
        <v>50</v>
      </c>
      <c r="F1468" s="16" t="n">
        <v>100</v>
      </c>
      <c r="G1468" s="15" t="s">
        <v>36</v>
      </c>
      <c r="H1468" s="17" t="s">
        <v>25</v>
      </c>
      <c r="I1468" s="18" t="s">
        <v>26</v>
      </c>
      <c r="J1468" s="15" t="n">
        <v>2023</v>
      </c>
      <c r="K1468" s="19" t="s">
        <v>553</v>
      </c>
      <c r="L1468" s="15" t="s">
        <v>28</v>
      </c>
      <c r="M1468" s="15" t="s">
        <v>33</v>
      </c>
      <c r="N1468" s="17" t="s">
        <v>72</v>
      </c>
      <c r="O1468" s="15" t="s">
        <v>203</v>
      </c>
      <c r="P1468" s="15"/>
      <c r="Q1468" s="21"/>
      <c r="R1468" s="21"/>
      <c r="S1468" s="21"/>
      <c r="T1468" s="28"/>
      <c r="U1468" s="24"/>
    </row>
    <row r="1469" s="25" customFormat="true" ht="41.4" hidden="false" customHeight="false" outlineLevel="0" collapsed="false">
      <c r="A1469" s="36" t="s">
        <v>3255</v>
      </c>
      <c r="B1469" s="26" t="s">
        <v>3256</v>
      </c>
      <c r="C1469" s="14" t="s">
        <v>3257</v>
      </c>
      <c r="D1469" s="15" t="n">
        <v>12</v>
      </c>
      <c r="E1469" s="27" t="n">
        <f aca="false">F1469/2</f>
        <v>8400</v>
      </c>
      <c r="F1469" s="16" t="n">
        <v>16800</v>
      </c>
      <c r="G1469" s="15" t="s">
        <v>36</v>
      </c>
      <c r="H1469" s="17" t="s">
        <v>25</v>
      </c>
      <c r="I1469" s="18" t="s">
        <v>26</v>
      </c>
      <c r="J1469" s="15" t="n">
        <v>2021</v>
      </c>
      <c r="K1469" s="19" t="s">
        <v>27</v>
      </c>
      <c r="L1469" s="15" t="s">
        <v>28</v>
      </c>
      <c r="M1469" s="15" t="s">
        <v>33</v>
      </c>
      <c r="N1469" s="17" t="s">
        <v>72</v>
      </c>
      <c r="O1469" s="15" t="s">
        <v>203</v>
      </c>
      <c r="P1469" s="15"/>
      <c r="Q1469" s="21"/>
      <c r="R1469" s="21"/>
      <c r="S1469" s="21"/>
      <c r="T1469" s="31" t="n">
        <v>45901</v>
      </c>
      <c r="U1469" s="34"/>
    </row>
    <row r="1470" s="25" customFormat="true" ht="41.4" hidden="false" customHeight="false" outlineLevel="0" collapsed="false">
      <c r="A1470" s="36" t="s">
        <v>3258</v>
      </c>
      <c r="B1470" s="26"/>
      <c r="C1470" s="14" t="s">
        <v>3259</v>
      </c>
      <c r="D1470" s="15" t="n">
        <v>12</v>
      </c>
      <c r="E1470" s="27" t="n">
        <f aca="false">F1470/2</f>
        <v>5100</v>
      </c>
      <c r="F1470" s="16" t="n">
        <f aca="false">10200</f>
        <v>10200</v>
      </c>
      <c r="G1470" s="15" t="s">
        <v>36</v>
      </c>
      <c r="H1470" s="17" t="s">
        <v>25</v>
      </c>
      <c r="I1470" s="18" t="s">
        <v>26</v>
      </c>
      <c r="J1470" s="15" t="n">
        <v>2024</v>
      </c>
      <c r="K1470" s="19" t="s">
        <v>27</v>
      </c>
      <c r="L1470" s="15" t="s">
        <v>28</v>
      </c>
      <c r="M1470" s="15" t="s">
        <v>33</v>
      </c>
      <c r="N1470" s="17" t="s">
        <v>91</v>
      </c>
      <c r="O1470" s="15"/>
      <c r="P1470" s="15"/>
      <c r="Q1470" s="21"/>
      <c r="R1470" s="21"/>
      <c r="S1470" s="21"/>
      <c r="T1470" s="31" t="n">
        <v>45893</v>
      </c>
      <c r="U1470" s="34"/>
    </row>
    <row r="1471" s="25" customFormat="true" ht="41.4" hidden="false" customHeight="false" outlineLevel="0" collapsed="false">
      <c r="A1471" s="36" t="s">
        <v>3260</v>
      </c>
      <c r="B1471" s="26" t="s">
        <v>3261</v>
      </c>
      <c r="C1471" s="14" t="s">
        <v>330</v>
      </c>
      <c r="D1471" s="15" t="n">
        <v>2</v>
      </c>
      <c r="E1471" s="27" t="n">
        <f aca="false">F1471/2</f>
        <v>1400</v>
      </c>
      <c r="F1471" s="16" t="n">
        <v>2800</v>
      </c>
      <c r="G1471" s="15" t="s">
        <v>24</v>
      </c>
      <c r="H1471" s="17" t="s">
        <v>25</v>
      </c>
      <c r="I1471" s="18" t="s">
        <v>26</v>
      </c>
      <c r="J1471" s="15" t="n">
        <v>2014</v>
      </c>
      <c r="K1471" s="19" t="s">
        <v>27</v>
      </c>
      <c r="L1471" s="15" t="s">
        <v>28</v>
      </c>
      <c r="M1471" s="15" t="s">
        <v>33</v>
      </c>
      <c r="N1471" s="17" t="s">
        <v>83</v>
      </c>
      <c r="O1471" s="15"/>
      <c r="P1471" s="15"/>
      <c r="Q1471" s="21" t="s">
        <v>302</v>
      </c>
      <c r="R1471" s="21"/>
      <c r="S1471" s="21"/>
      <c r="T1471" s="28"/>
      <c r="U1471" s="24"/>
    </row>
    <row r="1472" s="25" customFormat="true" ht="41.4" hidden="false" customHeight="false" outlineLevel="0" collapsed="false">
      <c r="A1472" s="36" t="s">
        <v>3262</v>
      </c>
      <c r="B1472" s="26"/>
      <c r="C1472" s="14" t="s">
        <v>122</v>
      </c>
      <c r="D1472" s="15" t="n">
        <v>12</v>
      </c>
      <c r="E1472" s="27" t="n">
        <v>14190</v>
      </c>
      <c r="F1472" s="16" t="n">
        <v>28380</v>
      </c>
      <c r="G1472" s="15" t="s">
        <v>36</v>
      </c>
      <c r="H1472" s="17" t="s">
        <v>25</v>
      </c>
      <c r="I1472" s="18" t="s">
        <v>26</v>
      </c>
      <c r="J1472" s="15" t="n">
        <v>2025</v>
      </c>
      <c r="K1472" s="19" t="s">
        <v>27</v>
      </c>
      <c r="L1472" s="15" t="s">
        <v>28</v>
      </c>
      <c r="M1472" s="15" t="s">
        <v>33</v>
      </c>
      <c r="N1472" s="17"/>
      <c r="O1472" s="15"/>
      <c r="P1472" s="15"/>
      <c r="Q1472" s="21"/>
      <c r="R1472" s="21"/>
      <c r="S1472" s="21"/>
      <c r="T1472" s="28"/>
      <c r="U1472" s="24"/>
    </row>
    <row r="1473" s="25" customFormat="true" ht="45.6" hidden="false" customHeight="false" outlineLevel="0" collapsed="false">
      <c r="A1473" s="36" t="s">
        <v>3263</v>
      </c>
      <c r="B1473" s="26" t="s">
        <v>3264</v>
      </c>
      <c r="C1473" s="14" t="s">
        <v>3265</v>
      </c>
      <c r="D1473" s="15" t="n">
        <v>6</v>
      </c>
      <c r="E1473" s="27" t="n">
        <v>2150</v>
      </c>
      <c r="F1473" s="16" t="n">
        <f aca="false">E1473*2</f>
        <v>4300</v>
      </c>
      <c r="G1473" s="15" t="s">
        <v>24</v>
      </c>
      <c r="H1473" s="17" t="s">
        <v>25</v>
      </c>
      <c r="I1473" s="18" t="s">
        <v>26</v>
      </c>
      <c r="J1473" s="15" t="n">
        <v>2011</v>
      </c>
      <c r="K1473" s="19" t="s">
        <v>27</v>
      </c>
      <c r="L1473" s="15" t="s">
        <v>28</v>
      </c>
      <c r="M1473" s="15" t="s">
        <v>33</v>
      </c>
      <c r="N1473" s="17"/>
      <c r="O1473" s="15"/>
      <c r="P1473" s="15"/>
      <c r="Q1473" s="21" t="s">
        <v>862</v>
      </c>
      <c r="R1473" s="21"/>
      <c r="S1473" s="21"/>
      <c r="T1473" s="28"/>
      <c r="U1473" s="24" t="s">
        <v>3266</v>
      </c>
    </row>
    <row r="1474" s="25" customFormat="true" ht="41.4" hidden="false" customHeight="false" outlineLevel="0" collapsed="false">
      <c r="A1474" s="36" t="s">
        <v>3267</v>
      </c>
      <c r="B1474" s="26" t="s">
        <v>3268</v>
      </c>
      <c r="C1474" s="14" t="s">
        <v>3269</v>
      </c>
      <c r="D1474" s="15" t="n">
        <v>4</v>
      </c>
      <c r="E1474" s="27" t="n">
        <v>50</v>
      </c>
      <c r="F1474" s="16" t="n">
        <v>100</v>
      </c>
      <c r="G1474" s="15" t="s">
        <v>36</v>
      </c>
      <c r="H1474" s="17" t="s">
        <v>25</v>
      </c>
      <c r="I1474" s="18" t="s">
        <v>26</v>
      </c>
      <c r="J1474" s="15" t="n">
        <v>2021</v>
      </c>
      <c r="K1474" s="19" t="s">
        <v>52</v>
      </c>
      <c r="L1474" s="15" t="s">
        <v>28</v>
      </c>
      <c r="M1474" s="15" t="s">
        <v>33</v>
      </c>
      <c r="N1474" s="20"/>
      <c r="O1474" s="15"/>
      <c r="P1474" s="15"/>
      <c r="Q1474" s="21"/>
      <c r="R1474" s="21"/>
      <c r="S1474" s="21"/>
      <c r="T1474" s="28"/>
      <c r="U1474" s="34"/>
    </row>
    <row r="1475" s="25" customFormat="true" ht="41.4" hidden="false" customHeight="false" outlineLevel="0" collapsed="false">
      <c r="A1475" s="36" t="s">
        <v>3270</v>
      </c>
      <c r="B1475" s="26" t="s">
        <v>3271</v>
      </c>
      <c r="C1475" s="14" t="s">
        <v>1048</v>
      </c>
      <c r="D1475" s="15" t="n">
        <v>10</v>
      </c>
      <c r="E1475" s="27" t="n">
        <v>1398</v>
      </c>
      <c r="F1475" s="16" t="n">
        <f aca="false">E1475*2</f>
        <v>2796</v>
      </c>
      <c r="G1475" s="15" t="s">
        <v>36</v>
      </c>
      <c r="H1475" s="17" t="s">
        <v>25</v>
      </c>
      <c r="I1475" s="18" t="s">
        <v>26</v>
      </c>
      <c r="J1475" s="15" t="n">
        <v>2021</v>
      </c>
      <c r="K1475" s="19" t="s">
        <v>27</v>
      </c>
      <c r="L1475" s="15" t="s">
        <v>28</v>
      </c>
      <c r="M1475" s="15" t="s">
        <v>33</v>
      </c>
      <c r="N1475" s="20" t="s">
        <v>45</v>
      </c>
      <c r="O1475" s="15"/>
      <c r="P1475" s="15"/>
      <c r="Q1475" s="21"/>
      <c r="R1475" s="21"/>
      <c r="S1475" s="21"/>
      <c r="T1475" s="31" t="n">
        <v>45897</v>
      </c>
      <c r="U1475" s="34"/>
    </row>
    <row r="1476" s="25" customFormat="true" ht="41.4" hidden="false" customHeight="false" outlineLevel="0" collapsed="false">
      <c r="A1476" s="63" t="s">
        <v>3272</v>
      </c>
      <c r="B1476" s="26" t="s">
        <v>3273</v>
      </c>
      <c r="C1476" s="14" t="s">
        <v>264</v>
      </c>
      <c r="D1476" s="30" t="n">
        <v>12</v>
      </c>
      <c r="E1476" s="16" t="n">
        <f aca="false">F1476/2</f>
        <v>70828.2</v>
      </c>
      <c r="F1476" s="16" t="n">
        <f aca="false">149112*0.95</f>
        <v>141656.4</v>
      </c>
      <c r="G1476" s="15" t="s">
        <v>36</v>
      </c>
      <c r="H1476" s="17" t="s">
        <v>25</v>
      </c>
      <c r="I1476" s="18" t="s">
        <v>26</v>
      </c>
      <c r="J1476" s="15" t="n">
        <v>2024</v>
      </c>
      <c r="K1476" s="19" t="s">
        <v>27</v>
      </c>
      <c r="L1476" s="15" t="s">
        <v>28</v>
      </c>
      <c r="M1476" s="15" t="s">
        <v>33</v>
      </c>
      <c r="N1476" s="30"/>
      <c r="O1476" s="60"/>
      <c r="P1476" s="60"/>
      <c r="Q1476" s="21"/>
      <c r="R1476" s="21"/>
      <c r="S1476" s="40"/>
      <c r="T1476" s="31" t="n">
        <v>45880</v>
      </c>
      <c r="U1476" s="41"/>
    </row>
    <row r="1477" s="25" customFormat="true" ht="41.4" hidden="false" customHeight="false" outlineLevel="0" collapsed="false">
      <c r="A1477" s="36" t="s">
        <v>3274</v>
      </c>
      <c r="B1477" s="26" t="s">
        <v>3275</v>
      </c>
      <c r="C1477" s="14" t="s">
        <v>122</v>
      </c>
      <c r="D1477" s="15" t="n">
        <v>12</v>
      </c>
      <c r="E1477" s="27" t="n">
        <v>23628</v>
      </c>
      <c r="F1477" s="16" t="n">
        <v>39204</v>
      </c>
      <c r="G1477" s="15" t="s">
        <v>36</v>
      </c>
      <c r="H1477" s="17" t="s">
        <v>25</v>
      </c>
      <c r="I1477" s="18" t="s">
        <v>26</v>
      </c>
      <c r="J1477" s="15" t="n">
        <v>2020</v>
      </c>
      <c r="K1477" s="19" t="s">
        <v>27</v>
      </c>
      <c r="L1477" s="15" t="s">
        <v>28</v>
      </c>
      <c r="M1477" s="15" t="s">
        <v>33</v>
      </c>
      <c r="N1477" s="20" t="s">
        <v>809</v>
      </c>
      <c r="O1477" s="15"/>
      <c r="P1477" s="15"/>
      <c r="Q1477" s="21"/>
      <c r="R1477" s="21"/>
      <c r="S1477" s="21"/>
      <c r="T1477" s="28"/>
      <c r="U1477" s="34"/>
    </row>
    <row r="1478" s="25" customFormat="true" ht="41.4" hidden="false" customHeight="false" outlineLevel="0" collapsed="false">
      <c r="A1478" s="36" t="s">
        <v>3276</v>
      </c>
      <c r="B1478" s="26" t="s">
        <v>3277</v>
      </c>
      <c r="C1478" s="14" t="s">
        <v>283</v>
      </c>
      <c r="D1478" s="15" t="n">
        <v>40</v>
      </c>
      <c r="E1478" s="27" t="n">
        <f aca="false">F1478/2</f>
        <v>14040</v>
      </c>
      <c r="F1478" s="16" t="n">
        <f aca="false">23400*1.2</f>
        <v>28080</v>
      </c>
      <c r="G1478" s="15" t="s">
        <v>36</v>
      </c>
      <c r="H1478" s="17" t="s">
        <v>25</v>
      </c>
      <c r="I1478" s="18" t="s">
        <v>26</v>
      </c>
      <c r="J1478" s="15" t="n">
        <v>2012</v>
      </c>
      <c r="K1478" s="19" t="s">
        <v>27</v>
      </c>
      <c r="L1478" s="15" t="s">
        <v>28</v>
      </c>
      <c r="M1478" s="15" t="s">
        <v>33</v>
      </c>
      <c r="N1478" s="17" t="s">
        <v>123</v>
      </c>
      <c r="O1478" s="15"/>
      <c r="P1478" s="15"/>
      <c r="Q1478" s="21" t="s">
        <v>124</v>
      </c>
      <c r="R1478" s="21"/>
      <c r="S1478" s="21"/>
      <c r="T1478" s="28"/>
      <c r="U1478" s="24" t="s">
        <v>1858</v>
      </c>
    </row>
    <row r="1479" s="25" customFormat="true" ht="41.4" hidden="false" customHeight="false" outlineLevel="0" collapsed="false">
      <c r="A1479" s="36" t="s">
        <v>3278</v>
      </c>
      <c r="B1479" s="26" t="s">
        <v>3279</v>
      </c>
      <c r="C1479" s="14" t="s">
        <v>401</v>
      </c>
      <c r="D1479" s="15" t="n">
        <v>6</v>
      </c>
      <c r="E1479" s="27" t="n">
        <f aca="false">F1479/2</f>
        <v>3900</v>
      </c>
      <c r="F1479" s="16" t="n">
        <v>7800</v>
      </c>
      <c r="G1479" s="15" t="s">
        <v>36</v>
      </c>
      <c r="H1479" s="17" t="s">
        <v>25</v>
      </c>
      <c r="I1479" s="18" t="s">
        <v>26</v>
      </c>
      <c r="J1479" s="15" t="n">
        <v>2018</v>
      </c>
      <c r="K1479" s="19" t="s">
        <v>27</v>
      </c>
      <c r="L1479" s="15" t="s">
        <v>28</v>
      </c>
      <c r="M1479" s="15" t="s">
        <v>33</v>
      </c>
      <c r="N1479" s="17" t="s">
        <v>123</v>
      </c>
      <c r="O1479" s="15"/>
      <c r="P1479" s="15"/>
      <c r="Q1479" s="21" t="s">
        <v>78</v>
      </c>
      <c r="R1479" s="21"/>
      <c r="S1479" s="21"/>
      <c r="T1479" s="28"/>
      <c r="U1479" s="24"/>
    </row>
    <row r="1480" s="25" customFormat="true" ht="41.4" hidden="false" customHeight="false" outlineLevel="0" collapsed="false">
      <c r="A1480" s="36" t="s">
        <v>3280</v>
      </c>
      <c r="B1480" s="26"/>
      <c r="C1480" s="14" t="s">
        <v>122</v>
      </c>
      <c r="D1480" s="15" t="n">
        <v>12</v>
      </c>
      <c r="E1480" s="27" t="n">
        <v>14190</v>
      </c>
      <c r="F1480" s="16" t="n">
        <v>28380</v>
      </c>
      <c r="G1480" s="15" t="s">
        <v>36</v>
      </c>
      <c r="H1480" s="17" t="s">
        <v>25</v>
      </c>
      <c r="I1480" s="18" t="s">
        <v>26</v>
      </c>
      <c r="J1480" s="15" t="n">
        <v>2025</v>
      </c>
      <c r="K1480" s="19" t="s">
        <v>27</v>
      </c>
      <c r="L1480" s="15" t="s">
        <v>28</v>
      </c>
      <c r="M1480" s="15" t="s">
        <v>33</v>
      </c>
      <c r="N1480" s="17"/>
      <c r="O1480" s="15"/>
      <c r="P1480" s="15"/>
      <c r="Q1480" s="21"/>
      <c r="R1480" s="21"/>
      <c r="S1480" s="21"/>
      <c r="T1480" s="28"/>
      <c r="U1480" s="24"/>
    </row>
    <row r="1481" s="25" customFormat="true" ht="41.4" hidden="false" customHeight="false" outlineLevel="0" collapsed="false">
      <c r="A1481" s="36" t="s">
        <v>3281</v>
      </c>
      <c r="B1481" s="26" t="s">
        <v>3282</v>
      </c>
      <c r="C1481" s="14" t="s">
        <v>3127</v>
      </c>
      <c r="D1481" s="15" t="n">
        <v>6</v>
      </c>
      <c r="E1481" s="27" t="n">
        <f aca="false">F1481/2</f>
        <v>4680</v>
      </c>
      <c r="F1481" s="16" t="n">
        <f aca="false">7800*1.2</f>
        <v>9360</v>
      </c>
      <c r="G1481" s="15" t="s">
        <v>36</v>
      </c>
      <c r="H1481" s="17" t="s">
        <v>25</v>
      </c>
      <c r="I1481" s="18" t="s">
        <v>26</v>
      </c>
      <c r="J1481" s="15" t="n">
        <v>2021</v>
      </c>
      <c r="K1481" s="19" t="s">
        <v>27</v>
      </c>
      <c r="L1481" s="15" t="s">
        <v>28</v>
      </c>
      <c r="M1481" s="15" t="s">
        <v>33</v>
      </c>
      <c r="N1481" s="15" t="s">
        <v>1019</v>
      </c>
      <c r="O1481" s="15"/>
      <c r="P1481" s="15"/>
      <c r="Q1481" s="21"/>
      <c r="R1481" s="21"/>
      <c r="S1481" s="21"/>
      <c r="T1481" s="31" t="n">
        <v>45893</v>
      </c>
      <c r="U1481" s="34"/>
    </row>
    <row r="1482" s="25" customFormat="true" ht="41.4" hidden="false" customHeight="false" outlineLevel="0" collapsed="false">
      <c r="A1482" s="36" t="s">
        <v>3283</v>
      </c>
      <c r="B1482" s="26" t="s">
        <v>3284</v>
      </c>
      <c r="C1482" s="14" t="s">
        <v>1812</v>
      </c>
      <c r="D1482" s="15" t="n">
        <v>8</v>
      </c>
      <c r="E1482" s="27" t="n">
        <f aca="false">F1482/2</f>
        <v>816</v>
      </c>
      <c r="F1482" s="16" t="n">
        <f aca="false">1360*1.2</f>
        <v>1632</v>
      </c>
      <c r="G1482" s="15" t="s">
        <v>36</v>
      </c>
      <c r="H1482" s="17" t="s">
        <v>25</v>
      </c>
      <c r="I1482" s="18" t="s">
        <v>26</v>
      </c>
      <c r="J1482" s="15" t="n">
        <v>2020</v>
      </c>
      <c r="K1482" s="19" t="s">
        <v>27</v>
      </c>
      <c r="L1482" s="15" t="s">
        <v>28</v>
      </c>
      <c r="M1482" s="15" t="s">
        <v>33</v>
      </c>
      <c r="N1482" s="20" t="s">
        <v>45</v>
      </c>
      <c r="O1482" s="15"/>
      <c r="P1482" s="15"/>
      <c r="Q1482" s="21"/>
      <c r="R1482" s="21"/>
      <c r="S1482" s="21"/>
      <c r="T1482" s="28"/>
      <c r="U1482" s="34"/>
    </row>
    <row r="1483" s="25" customFormat="true" ht="41.4" hidden="false" customHeight="false" outlineLevel="0" collapsed="false">
      <c r="A1483" s="36" t="s">
        <v>3285</v>
      </c>
      <c r="B1483" s="26" t="s">
        <v>3286</v>
      </c>
      <c r="C1483" s="14" t="s">
        <v>179</v>
      </c>
      <c r="D1483" s="15" t="n">
        <v>4</v>
      </c>
      <c r="E1483" s="27" t="n">
        <f aca="false">F1483/2</f>
        <v>4800</v>
      </c>
      <c r="F1483" s="16" t="n">
        <f aca="false">8000*1.2</f>
        <v>9600</v>
      </c>
      <c r="G1483" s="15" t="s">
        <v>36</v>
      </c>
      <c r="H1483" s="17" t="s">
        <v>25</v>
      </c>
      <c r="I1483" s="18" t="s">
        <v>26</v>
      </c>
      <c r="J1483" s="15" t="n">
        <v>2017</v>
      </c>
      <c r="K1483" s="19" t="s">
        <v>27</v>
      </c>
      <c r="L1483" s="15" t="s">
        <v>28</v>
      </c>
      <c r="M1483" s="15" t="s">
        <v>33</v>
      </c>
      <c r="N1483" s="17" t="s">
        <v>123</v>
      </c>
      <c r="O1483" s="15"/>
      <c r="P1483" s="15"/>
      <c r="Q1483" s="21"/>
      <c r="R1483" s="21"/>
      <c r="S1483" s="21"/>
      <c r="T1483" s="28"/>
      <c r="U1483" s="24"/>
    </row>
    <row r="1484" s="25" customFormat="true" ht="41.4" hidden="false" customHeight="false" outlineLevel="0" collapsed="false">
      <c r="A1484" s="36" t="s">
        <v>3287</v>
      </c>
      <c r="B1484" s="26" t="s">
        <v>3288</v>
      </c>
      <c r="C1484" s="14" t="s">
        <v>296</v>
      </c>
      <c r="D1484" s="15" t="n">
        <v>12</v>
      </c>
      <c r="E1484" s="27" t="n">
        <v>50</v>
      </c>
      <c r="F1484" s="16" t="n">
        <v>100</v>
      </c>
      <c r="G1484" s="15" t="s">
        <v>36</v>
      </c>
      <c r="H1484" s="17" t="s">
        <v>25</v>
      </c>
      <c r="I1484" s="18" t="s">
        <v>26</v>
      </c>
      <c r="J1484" s="15"/>
      <c r="K1484" s="19" t="s">
        <v>27</v>
      </c>
      <c r="L1484" s="15" t="s">
        <v>28</v>
      </c>
      <c r="M1484" s="15" t="s">
        <v>33</v>
      </c>
      <c r="N1484" s="17" t="s">
        <v>123</v>
      </c>
      <c r="O1484" s="15"/>
      <c r="P1484" s="15"/>
      <c r="Q1484" s="21" t="s">
        <v>78</v>
      </c>
      <c r="R1484" s="21"/>
      <c r="S1484" s="21"/>
      <c r="T1484" s="28"/>
      <c r="U1484" s="24"/>
    </row>
    <row r="1485" s="25" customFormat="true" ht="41.4" hidden="false" customHeight="false" outlineLevel="0" collapsed="false">
      <c r="A1485" s="36" t="s">
        <v>3289</v>
      </c>
      <c r="B1485" s="26" t="s">
        <v>3290</v>
      </c>
      <c r="C1485" s="14" t="s">
        <v>243</v>
      </c>
      <c r="D1485" s="15" t="n">
        <v>12</v>
      </c>
      <c r="E1485" s="27" t="n">
        <f aca="false">F1485/2</f>
        <v>45937.5</v>
      </c>
      <c r="F1485" s="16" t="n">
        <f aca="false">87500*1.05</f>
        <v>91875</v>
      </c>
      <c r="G1485" s="15" t="s">
        <v>36</v>
      </c>
      <c r="H1485" s="17" t="s">
        <v>25</v>
      </c>
      <c r="I1485" s="18" t="s">
        <v>26</v>
      </c>
      <c r="J1485" s="15" t="n">
        <v>2018</v>
      </c>
      <c r="K1485" s="19" t="s">
        <v>27</v>
      </c>
      <c r="L1485" s="15" t="s">
        <v>28</v>
      </c>
      <c r="M1485" s="15" t="s">
        <v>33</v>
      </c>
      <c r="N1485" s="17"/>
      <c r="O1485" s="15"/>
      <c r="P1485" s="15"/>
      <c r="Q1485" s="21" t="s">
        <v>78</v>
      </c>
      <c r="R1485" s="21"/>
      <c r="S1485" s="21"/>
      <c r="T1485" s="28"/>
      <c r="U1485" s="24"/>
    </row>
    <row r="1486" s="25" customFormat="true" ht="41.4" hidden="false" customHeight="false" outlineLevel="0" collapsed="false">
      <c r="A1486" s="36" t="s">
        <v>3291</v>
      </c>
      <c r="B1486" s="26" t="s">
        <v>3292</v>
      </c>
      <c r="C1486" s="14"/>
      <c r="D1486" s="15" t="n">
        <v>104</v>
      </c>
      <c r="E1486" s="27" t="n">
        <v>1050</v>
      </c>
      <c r="F1486" s="16" t="n">
        <v>2100</v>
      </c>
      <c r="G1486" s="15" t="s">
        <v>354</v>
      </c>
      <c r="H1486" s="17" t="s">
        <v>25</v>
      </c>
      <c r="I1486" s="18" t="s">
        <v>26</v>
      </c>
      <c r="J1486" s="15" t="n">
        <v>1999</v>
      </c>
      <c r="K1486" s="19" t="s">
        <v>52</v>
      </c>
      <c r="L1486" s="15" t="s">
        <v>103</v>
      </c>
      <c r="M1486" s="15" t="s">
        <v>33</v>
      </c>
      <c r="N1486" s="17" t="s">
        <v>40</v>
      </c>
      <c r="O1486" s="15"/>
      <c r="P1486" s="15"/>
      <c r="Q1486" s="21" t="s">
        <v>41</v>
      </c>
      <c r="R1486" s="21"/>
      <c r="S1486" s="21"/>
      <c r="T1486" s="28"/>
      <c r="U1486" s="24" t="s">
        <v>3293</v>
      </c>
    </row>
    <row r="1487" s="25" customFormat="true" ht="41.4" hidden="false" customHeight="false" outlineLevel="0" collapsed="false">
      <c r="A1487" s="36" t="s">
        <v>3294</v>
      </c>
      <c r="B1487" s="26"/>
      <c r="C1487" s="14" t="s">
        <v>3295</v>
      </c>
      <c r="D1487" s="15" t="n">
        <v>4</v>
      </c>
      <c r="E1487" s="27" t="n">
        <f aca="false">F1487/2</f>
        <v>50</v>
      </c>
      <c r="F1487" s="16" t="n">
        <v>100</v>
      </c>
      <c r="G1487" s="15" t="s">
        <v>36</v>
      </c>
      <c r="H1487" s="17" t="s">
        <v>25</v>
      </c>
      <c r="I1487" s="18" t="s">
        <v>26</v>
      </c>
      <c r="J1487" s="15" t="n">
        <v>2025</v>
      </c>
      <c r="K1487" s="19" t="s">
        <v>27</v>
      </c>
      <c r="L1487" s="15" t="s">
        <v>28</v>
      </c>
      <c r="M1487" s="15" t="s">
        <v>33</v>
      </c>
      <c r="N1487" s="17"/>
      <c r="O1487" s="15"/>
      <c r="P1487" s="15"/>
      <c r="Q1487" s="21"/>
      <c r="R1487" s="21"/>
      <c r="S1487" s="21"/>
      <c r="T1487" s="31" t="n">
        <v>45893</v>
      </c>
      <c r="U1487" s="24"/>
    </row>
    <row r="1488" s="25" customFormat="true" ht="41.4" hidden="false" customHeight="false" outlineLevel="0" collapsed="false">
      <c r="A1488" s="36" t="s">
        <v>3296</v>
      </c>
      <c r="B1488" s="26" t="s">
        <v>3297</v>
      </c>
      <c r="C1488" s="14" t="s">
        <v>301</v>
      </c>
      <c r="D1488" s="15" t="n">
        <v>6</v>
      </c>
      <c r="E1488" s="27" t="n">
        <f aca="false">F1488/2</f>
        <v>4791</v>
      </c>
      <c r="F1488" s="16" t="n">
        <f aca="false">CEILING(7985*1.2,1)</f>
        <v>9582</v>
      </c>
      <c r="G1488" s="15" t="s">
        <v>36</v>
      </c>
      <c r="H1488" s="17" t="s">
        <v>25</v>
      </c>
      <c r="I1488" s="18" t="s">
        <v>26</v>
      </c>
      <c r="J1488" s="15" t="n">
        <v>2018</v>
      </c>
      <c r="K1488" s="19" t="s">
        <v>27</v>
      </c>
      <c r="L1488" s="15" t="s">
        <v>28</v>
      </c>
      <c r="M1488" s="15" t="s">
        <v>33</v>
      </c>
      <c r="N1488" s="17" t="s">
        <v>83</v>
      </c>
      <c r="O1488" s="15"/>
      <c r="P1488" s="15"/>
      <c r="Q1488" s="21" t="s">
        <v>78</v>
      </c>
      <c r="R1488" s="21"/>
      <c r="S1488" s="21"/>
      <c r="T1488" s="28"/>
      <c r="U1488" s="24"/>
    </row>
    <row r="1489" s="25" customFormat="true" ht="41.4" hidden="false" customHeight="false" outlineLevel="0" collapsed="false">
      <c r="A1489" s="36" t="s">
        <v>3298</v>
      </c>
      <c r="B1489" s="26"/>
      <c r="C1489" s="14" t="s">
        <v>81</v>
      </c>
      <c r="D1489" s="15" t="n">
        <v>6</v>
      </c>
      <c r="E1489" s="16" t="n">
        <f aca="false">F1489/2</f>
        <v>50</v>
      </c>
      <c r="F1489" s="16" t="n">
        <v>100</v>
      </c>
      <c r="G1489" s="15" t="s">
        <v>36</v>
      </c>
      <c r="H1489" s="17" t="s">
        <v>25</v>
      </c>
      <c r="I1489" s="18" t="s">
        <v>26</v>
      </c>
      <c r="J1489" s="15" t="n">
        <v>2024</v>
      </c>
      <c r="K1489" s="19" t="s">
        <v>27</v>
      </c>
      <c r="L1489" s="15" t="s">
        <v>304</v>
      </c>
      <c r="M1489" s="15" t="s">
        <v>33</v>
      </c>
      <c r="N1489" s="17" t="s">
        <v>83</v>
      </c>
      <c r="O1489" s="15"/>
      <c r="P1489" s="15"/>
      <c r="Q1489" s="21"/>
      <c r="R1489" s="21"/>
      <c r="S1489" s="21"/>
      <c r="T1489" s="28"/>
      <c r="U1489" s="24"/>
    </row>
    <row r="1490" s="25" customFormat="true" ht="41.4" hidden="false" customHeight="false" outlineLevel="0" collapsed="false">
      <c r="A1490" s="36" t="s">
        <v>3299</v>
      </c>
      <c r="B1490" s="26" t="s">
        <v>3300</v>
      </c>
      <c r="C1490" s="14"/>
      <c r="D1490" s="15" t="n">
        <v>6</v>
      </c>
      <c r="E1490" s="27" t="n">
        <v>1800</v>
      </c>
      <c r="F1490" s="16" t="n">
        <v>3600</v>
      </c>
      <c r="G1490" s="15" t="s">
        <v>354</v>
      </c>
      <c r="H1490" s="17" t="s">
        <v>25</v>
      </c>
      <c r="I1490" s="18" t="s">
        <v>26</v>
      </c>
      <c r="J1490" s="15" t="n">
        <v>2015</v>
      </c>
      <c r="K1490" s="19" t="s">
        <v>65</v>
      </c>
      <c r="L1490" s="15" t="s">
        <v>28</v>
      </c>
      <c r="M1490" s="15" t="s">
        <v>33</v>
      </c>
      <c r="N1490" s="17" t="s">
        <v>83</v>
      </c>
      <c r="O1490" s="15"/>
      <c r="P1490" s="15"/>
      <c r="Q1490" s="21" t="s">
        <v>302</v>
      </c>
      <c r="R1490" s="21"/>
      <c r="S1490" s="21"/>
      <c r="T1490" s="28"/>
      <c r="U1490" s="24"/>
    </row>
    <row r="1491" s="25" customFormat="true" ht="41.4" hidden="false" customHeight="false" outlineLevel="0" collapsed="false">
      <c r="A1491" s="36" t="s">
        <v>3301</v>
      </c>
      <c r="B1491" s="26"/>
      <c r="C1491" s="14" t="s">
        <v>1276</v>
      </c>
      <c r="D1491" s="15" t="n">
        <v>6</v>
      </c>
      <c r="E1491" s="16" t="n">
        <f aca="false">F1491/2</f>
        <v>9000</v>
      </c>
      <c r="F1491" s="16" t="n">
        <v>18000</v>
      </c>
      <c r="G1491" s="15" t="s">
        <v>36</v>
      </c>
      <c r="H1491" s="17" t="s">
        <v>25</v>
      </c>
      <c r="I1491" s="18" t="s">
        <v>26</v>
      </c>
      <c r="J1491" s="15" t="n">
        <v>2024</v>
      </c>
      <c r="K1491" s="19" t="s">
        <v>27</v>
      </c>
      <c r="L1491" s="15" t="s">
        <v>28</v>
      </c>
      <c r="M1491" s="15" t="s">
        <v>33</v>
      </c>
      <c r="N1491" s="17"/>
      <c r="O1491" s="15"/>
      <c r="P1491" s="15"/>
      <c r="Q1491" s="21"/>
      <c r="R1491" s="21"/>
      <c r="S1491" s="21"/>
      <c r="T1491" s="28"/>
      <c r="U1491" s="34"/>
    </row>
    <row r="1492" s="25" customFormat="true" ht="41.4" hidden="false" customHeight="false" outlineLevel="0" collapsed="false">
      <c r="A1492" s="36" t="s">
        <v>3302</v>
      </c>
      <c r="B1492" s="26"/>
      <c r="C1492" s="14" t="s">
        <v>81</v>
      </c>
      <c r="D1492" s="15" t="n">
        <v>4</v>
      </c>
      <c r="E1492" s="16" t="n">
        <f aca="false">F1492/2</f>
        <v>50</v>
      </c>
      <c r="F1492" s="16" t="n">
        <v>100</v>
      </c>
      <c r="G1492" s="15" t="s">
        <v>36</v>
      </c>
      <c r="H1492" s="17" t="s">
        <v>25</v>
      </c>
      <c r="I1492" s="18" t="s">
        <v>26</v>
      </c>
      <c r="J1492" s="15" t="n">
        <v>2024</v>
      </c>
      <c r="K1492" s="19" t="s">
        <v>27</v>
      </c>
      <c r="L1492" s="15" t="s">
        <v>82</v>
      </c>
      <c r="M1492" s="15" t="s">
        <v>33</v>
      </c>
      <c r="N1492" s="17" t="s">
        <v>83</v>
      </c>
      <c r="O1492" s="15"/>
      <c r="P1492" s="15"/>
      <c r="Q1492" s="21"/>
      <c r="R1492" s="21"/>
      <c r="S1492" s="21"/>
      <c r="T1492" s="28"/>
      <c r="U1492" s="24"/>
    </row>
    <row r="1493" s="25" customFormat="true" ht="41.4" hidden="false" customHeight="false" outlineLevel="0" collapsed="false">
      <c r="A1493" s="36" t="s">
        <v>3303</v>
      </c>
      <c r="B1493" s="26"/>
      <c r="C1493" s="14" t="s">
        <v>3304</v>
      </c>
      <c r="D1493" s="15" t="n">
        <v>6</v>
      </c>
      <c r="E1493" s="16" t="n">
        <f aca="false">F1493/2</f>
        <v>50</v>
      </c>
      <c r="F1493" s="16" t="n">
        <v>100</v>
      </c>
      <c r="G1493" s="15" t="s">
        <v>36</v>
      </c>
      <c r="H1493" s="17" t="s">
        <v>25</v>
      </c>
      <c r="I1493" s="18" t="s">
        <v>26</v>
      </c>
      <c r="J1493" s="15" t="n">
        <v>2025</v>
      </c>
      <c r="K1493" s="19" t="s">
        <v>27</v>
      </c>
      <c r="L1493" s="15" t="s">
        <v>28</v>
      </c>
      <c r="M1493" s="15" t="s">
        <v>33</v>
      </c>
      <c r="N1493" s="17" t="s">
        <v>153</v>
      </c>
      <c r="O1493" s="15" t="s">
        <v>46</v>
      </c>
      <c r="P1493" s="15"/>
      <c r="Q1493" s="21"/>
      <c r="R1493" s="21"/>
      <c r="S1493" s="21" t="s">
        <v>113</v>
      </c>
      <c r="T1493" s="31" t="n">
        <v>45876</v>
      </c>
      <c r="U1493" s="24"/>
    </row>
    <row r="1494" s="25" customFormat="true" ht="41.4" hidden="false" customHeight="false" outlineLevel="0" collapsed="false">
      <c r="A1494" s="36" t="s">
        <v>3305</v>
      </c>
      <c r="B1494" s="26" t="s">
        <v>3300</v>
      </c>
      <c r="C1494" s="14" t="s">
        <v>246</v>
      </c>
      <c r="D1494" s="15" t="n">
        <v>6</v>
      </c>
      <c r="E1494" s="27" t="n">
        <f aca="false">F1494/2</f>
        <v>10295.5</v>
      </c>
      <c r="F1494" s="38" t="n">
        <v>20591</v>
      </c>
      <c r="G1494" s="15" t="s">
        <v>36</v>
      </c>
      <c r="H1494" s="17" t="s">
        <v>25</v>
      </c>
      <c r="I1494" s="18" t="s">
        <v>26</v>
      </c>
      <c r="J1494" s="15" t="n">
        <v>2017</v>
      </c>
      <c r="K1494" s="19" t="s">
        <v>27</v>
      </c>
      <c r="L1494" s="15" t="s">
        <v>28</v>
      </c>
      <c r="M1494" s="15" t="s">
        <v>33</v>
      </c>
      <c r="N1494" s="20" t="s">
        <v>66</v>
      </c>
      <c r="O1494" s="15"/>
      <c r="P1494" s="15"/>
      <c r="Q1494" s="21" t="s">
        <v>247</v>
      </c>
      <c r="R1494" s="21"/>
      <c r="S1494" s="21"/>
      <c r="T1494" s="31" t="n">
        <v>45882</v>
      </c>
      <c r="U1494" s="24" t="s">
        <v>248</v>
      </c>
    </row>
    <row r="1495" s="25" customFormat="true" ht="41.4" hidden="false" customHeight="false" outlineLevel="0" collapsed="false">
      <c r="A1495" s="36" t="s">
        <v>3306</v>
      </c>
      <c r="B1495" s="26" t="s">
        <v>3307</v>
      </c>
      <c r="C1495" s="14" t="s">
        <v>335</v>
      </c>
      <c r="D1495" s="15" t="n">
        <v>12</v>
      </c>
      <c r="E1495" s="27" t="n">
        <f aca="false">F1495/2</f>
        <v>57600</v>
      </c>
      <c r="F1495" s="16" t="n">
        <f aca="false">12*9600</f>
        <v>115200</v>
      </c>
      <c r="G1495" s="15" t="s">
        <v>36</v>
      </c>
      <c r="H1495" s="17" t="s">
        <v>25</v>
      </c>
      <c r="I1495" s="18" t="s">
        <v>26</v>
      </c>
      <c r="J1495" s="15" t="n">
        <v>2020</v>
      </c>
      <c r="K1495" s="19" t="s">
        <v>27</v>
      </c>
      <c r="L1495" s="15" t="s">
        <v>28</v>
      </c>
      <c r="M1495" s="15" t="s">
        <v>33</v>
      </c>
      <c r="N1495" s="20"/>
      <c r="O1495" s="15" t="s">
        <v>46</v>
      </c>
      <c r="P1495" s="15"/>
      <c r="Q1495" s="21"/>
      <c r="R1495" s="21"/>
      <c r="S1495" s="21"/>
      <c r="T1495" s="28"/>
      <c r="U1495" s="34"/>
    </row>
    <row r="1496" s="25" customFormat="true" ht="41.4" hidden="false" customHeight="false" outlineLevel="0" collapsed="false">
      <c r="A1496" s="36" t="s">
        <v>3308</v>
      </c>
      <c r="B1496" s="26" t="s">
        <v>3309</v>
      </c>
      <c r="C1496" s="14" t="s">
        <v>246</v>
      </c>
      <c r="D1496" s="15" t="n">
        <v>4</v>
      </c>
      <c r="E1496" s="27" t="n">
        <f aca="false">F1496/2</f>
        <v>8579.5</v>
      </c>
      <c r="F1496" s="38" t="n">
        <v>17159</v>
      </c>
      <c r="G1496" s="15" t="s">
        <v>36</v>
      </c>
      <c r="H1496" s="17" t="s">
        <v>25</v>
      </c>
      <c r="I1496" s="18" t="s">
        <v>26</v>
      </c>
      <c r="J1496" s="15" t="n">
        <v>2017</v>
      </c>
      <c r="K1496" s="19" t="s">
        <v>27</v>
      </c>
      <c r="L1496" s="15" t="s">
        <v>28</v>
      </c>
      <c r="M1496" s="15" t="s">
        <v>33</v>
      </c>
      <c r="N1496" s="20" t="s">
        <v>66</v>
      </c>
      <c r="O1496" s="15"/>
      <c r="P1496" s="15"/>
      <c r="Q1496" s="21" t="s">
        <v>247</v>
      </c>
      <c r="R1496" s="21"/>
      <c r="S1496" s="21"/>
      <c r="T1496" s="31" t="n">
        <v>45882</v>
      </c>
      <c r="U1496" s="24" t="s">
        <v>248</v>
      </c>
    </row>
    <row r="1497" s="25" customFormat="true" ht="41.4" hidden="false" customHeight="false" outlineLevel="0" collapsed="false">
      <c r="A1497" s="36" t="s">
        <v>3310</v>
      </c>
      <c r="B1497" s="26" t="s">
        <v>3311</v>
      </c>
      <c r="C1497" s="14" t="s">
        <v>3312</v>
      </c>
      <c r="D1497" s="15" t="n">
        <v>12</v>
      </c>
      <c r="E1497" s="27" t="n">
        <f aca="false">F1497/2</f>
        <v>18000</v>
      </c>
      <c r="F1497" s="16" t="n">
        <v>36000</v>
      </c>
      <c r="G1497" s="15" t="s">
        <v>24</v>
      </c>
      <c r="H1497" s="17" t="s">
        <v>25</v>
      </c>
      <c r="I1497" s="18" t="s">
        <v>26</v>
      </c>
      <c r="J1497" s="15" t="n">
        <v>2017</v>
      </c>
      <c r="K1497" s="19" t="s">
        <v>27</v>
      </c>
      <c r="L1497" s="15" t="s">
        <v>28</v>
      </c>
      <c r="M1497" s="15" t="s">
        <v>33</v>
      </c>
      <c r="N1497" s="17" t="s">
        <v>87</v>
      </c>
      <c r="O1497" s="15"/>
      <c r="P1497" s="15"/>
      <c r="Q1497" s="21" t="s">
        <v>78</v>
      </c>
      <c r="R1497" s="21"/>
      <c r="S1497" s="21"/>
      <c r="T1497" s="28"/>
      <c r="U1497" s="24"/>
    </row>
    <row r="1498" s="25" customFormat="true" ht="41.4" hidden="false" customHeight="false" outlineLevel="0" collapsed="false">
      <c r="A1498" s="36" t="s">
        <v>3313</v>
      </c>
      <c r="B1498" s="26" t="s">
        <v>3314</v>
      </c>
      <c r="C1498" s="14" t="s">
        <v>3076</v>
      </c>
      <c r="D1498" s="15" t="n">
        <v>4</v>
      </c>
      <c r="E1498" s="27" t="n">
        <f aca="false">F1498/2</f>
        <v>760</v>
      </c>
      <c r="F1498" s="16" t="n">
        <v>1520</v>
      </c>
      <c r="G1498" s="15" t="s">
        <v>36</v>
      </c>
      <c r="H1498" s="17" t="s">
        <v>25</v>
      </c>
      <c r="I1498" s="18" t="s">
        <v>26</v>
      </c>
      <c r="J1498" s="15" t="n">
        <v>2020</v>
      </c>
      <c r="K1498" s="19" t="s">
        <v>27</v>
      </c>
      <c r="L1498" s="15" t="s">
        <v>28</v>
      </c>
      <c r="M1498" s="15" t="s">
        <v>33</v>
      </c>
      <c r="N1498" s="20"/>
      <c r="O1498" s="15"/>
      <c r="P1498" s="15"/>
      <c r="Q1498" s="21"/>
      <c r="R1498" s="21"/>
      <c r="S1498" s="21"/>
      <c r="T1498" s="28"/>
      <c r="U1498" s="34"/>
    </row>
    <row r="1499" s="25" customFormat="true" ht="41.4" hidden="false" customHeight="false" outlineLevel="0" collapsed="false">
      <c r="A1499" s="36" t="s">
        <v>3315</v>
      </c>
      <c r="B1499" s="26"/>
      <c r="C1499" s="14" t="s">
        <v>1724</v>
      </c>
      <c r="D1499" s="15" t="n">
        <v>6</v>
      </c>
      <c r="E1499" s="16" t="n">
        <f aca="false">F1499/2</f>
        <v>2263</v>
      </c>
      <c r="F1499" s="16" t="n">
        <f aca="false">CEILING(3771*1.2,1)</f>
        <v>4526</v>
      </c>
      <c r="G1499" s="15" t="s">
        <v>36</v>
      </c>
      <c r="H1499" s="17" t="s">
        <v>25</v>
      </c>
      <c r="I1499" s="18" t="s">
        <v>26</v>
      </c>
      <c r="J1499" s="15" t="n">
        <v>2024</v>
      </c>
      <c r="K1499" s="19" t="s">
        <v>1725</v>
      </c>
      <c r="L1499" s="15" t="s">
        <v>28</v>
      </c>
      <c r="M1499" s="15" t="s">
        <v>33</v>
      </c>
      <c r="N1499" s="17"/>
      <c r="O1499" s="15"/>
      <c r="P1499" s="15"/>
      <c r="Q1499" s="21"/>
      <c r="R1499" s="21"/>
      <c r="S1499" s="21"/>
      <c r="T1499" s="28"/>
      <c r="U1499" s="24"/>
    </row>
    <row r="1500" s="25" customFormat="true" ht="41.4" hidden="false" customHeight="false" outlineLevel="0" collapsed="false">
      <c r="A1500" s="63" t="s">
        <v>3316</v>
      </c>
      <c r="B1500" s="26" t="s">
        <v>3317</v>
      </c>
      <c r="C1500" s="14" t="s">
        <v>264</v>
      </c>
      <c r="D1500" s="30" t="n">
        <v>12</v>
      </c>
      <c r="E1500" s="16" t="n">
        <f aca="false">F1500/2</f>
        <v>54706.32</v>
      </c>
      <c r="F1500" s="16" t="n">
        <f aca="false">117648*0.93</f>
        <v>109412.64</v>
      </c>
      <c r="G1500" s="15" t="s">
        <v>36</v>
      </c>
      <c r="H1500" s="17" t="s">
        <v>25</v>
      </c>
      <c r="I1500" s="18" t="s">
        <v>26</v>
      </c>
      <c r="J1500" s="15" t="n">
        <v>2024</v>
      </c>
      <c r="K1500" s="19" t="s">
        <v>27</v>
      </c>
      <c r="L1500" s="15" t="s">
        <v>28</v>
      </c>
      <c r="M1500" s="15" t="s">
        <v>33</v>
      </c>
      <c r="N1500" s="30"/>
      <c r="O1500" s="60"/>
      <c r="P1500" s="60"/>
      <c r="Q1500" s="21"/>
      <c r="R1500" s="21"/>
      <c r="S1500" s="40"/>
      <c r="T1500" s="31" t="n">
        <v>45880</v>
      </c>
      <c r="U1500" s="41"/>
    </row>
    <row r="1501" s="25" customFormat="true" ht="41.4" hidden="false" customHeight="false" outlineLevel="0" collapsed="false">
      <c r="A1501" s="36" t="s">
        <v>3318</v>
      </c>
      <c r="B1501" s="26"/>
      <c r="C1501" s="14" t="s">
        <v>579</v>
      </c>
      <c r="D1501" s="15" t="n">
        <v>12</v>
      </c>
      <c r="E1501" s="27" t="n">
        <f aca="false">F1501/2</f>
        <v>3600</v>
      </c>
      <c r="F1501" s="16" t="n">
        <f aca="false">6000*1.2</f>
        <v>7200</v>
      </c>
      <c r="G1501" s="15" t="s">
        <v>36</v>
      </c>
      <c r="H1501" s="17" t="s">
        <v>25</v>
      </c>
      <c r="I1501" s="18" t="s">
        <v>26</v>
      </c>
      <c r="J1501" s="15" t="n">
        <v>2017</v>
      </c>
      <c r="K1501" s="19" t="s">
        <v>27</v>
      </c>
      <c r="L1501" s="15" t="s">
        <v>28</v>
      </c>
      <c r="M1501" s="15" t="s">
        <v>33</v>
      </c>
      <c r="N1501" s="17"/>
      <c r="O1501" s="15"/>
      <c r="P1501" s="15"/>
      <c r="Q1501" s="21"/>
      <c r="R1501" s="21"/>
      <c r="S1501" s="21"/>
      <c r="T1501" s="28"/>
      <c r="U1501" s="24"/>
    </row>
    <row r="1502" s="25" customFormat="true" ht="41.4" hidden="false" customHeight="false" outlineLevel="0" collapsed="false">
      <c r="A1502" s="36" t="s">
        <v>3319</v>
      </c>
      <c r="B1502" s="26" t="s">
        <v>3320</v>
      </c>
      <c r="C1502" s="14" t="s">
        <v>179</v>
      </c>
      <c r="D1502" s="15" t="n">
        <v>6</v>
      </c>
      <c r="E1502" s="27" t="n">
        <f aca="false">F1502/2</f>
        <v>7200</v>
      </c>
      <c r="F1502" s="16" t="n">
        <f aca="false">12000*1.2</f>
        <v>14400</v>
      </c>
      <c r="G1502" s="15" t="s">
        <v>36</v>
      </c>
      <c r="H1502" s="17" t="s">
        <v>25</v>
      </c>
      <c r="I1502" s="18" t="s">
        <v>26</v>
      </c>
      <c r="J1502" s="15" t="n">
        <v>2018</v>
      </c>
      <c r="K1502" s="19" t="s">
        <v>27</v>
      </c>
      <c r="L1502" s="15" t="s">
        <v>28</v>
      </c>
      <c r="M1502" s="15" t="s">
        <v>33</v>
      </c>
      <c r="N1502" s="17" t="s">
        <v>512</v>
      </c>
      <c r="O1502" s="15"/>
      <c r="P1502" s="15"/>
      <c r="Q1502" s="21"/>
      <c r="R1502" s="21"/>
      <c r="S1502" s="21"/>
      <c r="T1502" s="28"/>
      <c r="U1502" s="24"/>
    </row>
    <row r="1503" s="25" customFormat="true" ht="41.4" hidden="false" customHeight="false" outlineLevel="0" collapsed="false">
      <c r="A1503" s="36" t="s">
        <v>3321</v>
      </c>
      <c r="B1503" s="26"/>
      <c r="C1503" s="14" t="s">
        <v>337</v>
      </c>
      <c r="D1503" s="15" t="n">
        <v>2</v>
      </c>
      <c r="E1503" s="16" t="n">
        <f aca="false">F1503/2</f>
        <v>312</v>
      </c>
      <c r="F1503" s="16" t="n">
        <f aca="false">520*1.2</f>
        <v>624</v>
      </c>
      <c r="G1503" s="15" t="s">
        <v>36</v>
      </c>
      <c r="H1503" s="17" t="s">
        <v>25</v>
      </c>
      <c r="I1503" s="18" t="s">
        <v>26</v>
      </c>
      <c r="J1503" s="15" t="n">
        <v>2024</v>
      </c>
      <c r="K1503" s="19" t="s">
        <v>27</v>
      </c>
      <c r="L1503" s="15" t="s">
        <v>28</v>
      </c>
      <c r="M1503" s="15" t="s">
        <v>33</v>
      </c>
      <c r="N1503" s="17" t="s">
        <v>83</v>
      </c>
      <c r="O1503" s="15"/>
      <c r="P1503" s="15"/>
      <c r="Q1503" s="21"/>
      <c r="R1503" s="21"/>
      <c r="S1503" s="21"/>
      <c r="T1503" s="28"/>
      <c r="U1503" s="34"/>
    </row>
    <row r="1504" s="25" customFormat="true" ht="41.4" hidden="false" customHeight="false" outlineLevel="0" collapsed="false">
      <c r="A1504" s="36" t="s">
        <v>3322</v>
      </c>
      <c r="B1504" s="26"/>
      <c r="C1504" s="14" t="s">
        <v>337</v>
      </c>
      <c r="D1504" s="15" t="n">
        <v>4</v>
      </c>
      <c r="E1504" s="16" t="n">
        <f aca="false">F1504/2</f>
        <v>624</v>
      </c>
      <c r="F1504" s="16" t="n">
        <f aca="false">1040*1.2</f>
        <v>1248</v>
      </c>
      <c r="G1504" s="15" t="s">
        <v>36</v>
      </c>
      <c r="H1504" s="17" t="s">
        <v>25</v>
      </c>
      <c r="I1504" s="18" t="s">
        <v>26</v>
      </c>
      <c r="J1504" s="15" t="n">
        <v>2024</v>
      </c>
      <c r="K1504" s="19" t="s">
        <v>27</v>
      </c>
      <c r="L1504" s="15" t="s">
        <v>28</v>
      </c>
      <c r="M1504" s="15" t="s">
        <v>33</v>
      </c>
      <c r="N1504" s="17" t="s">
        <v>83</v>
      </c>
      <c r="O1504" s="15"/>
      <c r="P1504" s="15"/>
      <c r="Q1504" s="21"/>
      <c r="R1504" s="21"/>
      <c r="S1504" s="21"/>
      <c r="T1504" s="28"/>
      <c r="U1504" s="34"/>
    </row>
    <row r="1505" s="25" customFormat="true" ht="41.4" hidden="false" customHeight="false" outlineLevel="0" collapsed="false">
      <c r="A1505" s="36" t="s">
        <v>3323</v>
      </c>
      <c r="B1505" s="26" t="s">
        <v>3324</v>
      </c>
      <c r="C1505" s="14" t="s">
        <v>301</v>
      </c>
      <c r="D1505" s="15" t="n">
        <v>10</v>
      </c>
      <c r="E1505" s="27" t="n">
        <f aca="false">F1505/2</f>
        <v>6757</v>
      </c>
      <c r="F1505" s="16" t="n">
        <f aca="false">CEILING(11261*1.2,1)</f>
        <v>13514</v>
      </c>
      <c r="G1505" s="15" t="s">
        <v>36</v>
      </c>
      <c r="H1505" s="17" t="s">
        <v>25</v>
      </c>
      <c r="I1505" s="18" t="s">
        <v>26</v>
      </c>
      <c r="J1505" s="15" t="n">
        <v>2018</v>
      </c>
      <c r="K1505" s="19" t="s">
        <v>27</v>
      </c>
      <c r="L1505" s="15" t="s">
        <v>28</v>
      </c>
      <c r="M1505" s="15" t="s">
        <v>33</v>
      </c>
      <c r="N1505" s="17" t="s">
        <v>83</v>
      </c>
      <c r="O1505" s="15" t="s">
        <v>46</v>
      </c>
      <c r="P1505" s="15"/>
      <c r="Q1505" s="21" t="s">
        <v>78</v>
      </c>
      <c r="R1505" s="21"/>
      <c r="S1505" s="21"/>
      <c r="T1505" s="28"/>
      <c r="U1505" s="24"/>
    </row>
    <row r="1506" s="25" customFormat="true" ht="41.4" hidden="false" customHeight="false" outlineLevel="0" collapsed="false">
      <c r="A1506" s="36" t="s">
        <v>3325</v>
      </c>
      <c r="B1506" s="26" t="s">
        <v>3326</v>
      </c>
      <c r="C1506" s="14" t="s">
        <v>301</v>
      </c>
      <c r="D1506" s="15" t="n">
        <v>30</v>
      </c>
      <c r="E1506" s="27" t="n">
        <f aca="false">F1506/2</f>
        <v>9173</v>
      </c>
      <c r="F1506" s="16" t="n">
        <f aca="false">CEILING(15288*1.2,1)</f>
        <v>18346</v>
      </c>
      <c r="G1506" s="15" t="s">
        <v>36</v>
      </c>
      <c r="H1506" s="17" t="s">
        <v>25</v>
      </c>
      <c r="I1506" s="18" t="s">
        <v>26</v>
      </c>
      <c r="J1506" s="15" t="n">
        <v>2020</v>
      </c>
      <c r="K1506" s="19" t="s">
        <v>27</v>
      </c>
      <c r="L1506" s="15" t="s">
        <v>103</v>
      </c>
      <c r="M1506" s="15" t="s">
        <v>33</v>
      </c>
      <c r="N1506" s="17" t="s">
        <v>83</v>
      </c>
      <c r="O1506" s="15"/>
      <c r="P1506" s="15"/>
      <c r="Q1506" s="21"/>
      <c r="R1506" s="21"/>
      <c r="S1506" s="21"/>
      <c r="T1506" s="28"/>
      <c r="U1506" s="34"/>
    </row>
    <row r="1507" s="25" customFormat="true" ht="41.4" hidden="false" customHeight="false" outlineLevel="0" collapsed="false">
      <c r="A1507" s="39" t="s">
        <v>3327</v>
      </c>
      <c r="B1507" s="26"/>
      <c r="C1507" s="14" t="s">
        <v>264</v>
      </c>
      <c r="D1507" s="15" t="n">
        <v>6</v>
      </c>
      <c r="E1507" s="27" t="n">
        <f aca="false">F1507/2</f>
        <v>37849.14</v>
      </c>
      <c r="F1507" s="16" t="n">
        <f aca="false">81396*0.93</f>
        <v>75698.28</v>
      </c>
      <c r="G1507" s="15" t="s">
        <v>36</v>
      </c>
      <c r="H1507" s="17" t="s">
        <v>25</v>
      </c>
      <c r="I1507" s="18" t="s">
        <v>26</v>
      </c>
      <c r="J1507" s="15" t="n">
        <v>2024</v>
      </c>
      <c r="K1507" s="19" t="s">
        <v>27</v>
      </c>
      <c r="L1507" s="15" t="s">
        <v>28</v>
      </c>
      <c r="M1507" s="15" t="s">
        <v>33</v>
      </c>
      <c r="N1507" s="17" t="s">
        <v>83</v>
      </c>
      <c r="O1507" s="15"/>
      <c r="P1507" s="15"/>
      <c r="Q1507" s="21"/>
      <c r="R1507" s="21"/>
      <c r="S1507" s="21"/>
      <c r="T1507" s="31" t="n">
        <v>45880</v>
      </c>
      <c r="U1507" s="24"/>
    </row>
    <row r="1508" s="25" customFormat="true" ht="68.4" hidden="false" customHeight="false" outlineLevel="0" collapsed="false">
      <c r="A1508" s="36" t="s">
        <v>3328</v>
      </c>
      <c r="B1508" s="26" t="s">
        <v>3329</v>
      </c>
      <c r="C1508" s="14" t="s">
        <v>932</v>
      </c>
      <c r="D1508" s="15" t="n">
        <v>8</v>
      </c>
      <c r="E1508" s="27" t="n">
        <f aca="false">F1508/2</f>
        <v>6720</v>
      </c>
      <c r="F1508" s="16" t="n">
        <v>13440</v>
      </c>
      <c r="G1508" s="15" t="s">
        <v>24</v>
      </c>
      <c r="H1508" s="17" t="s">
        <v>25</v>
      </c>
      <c r="I1508" s="18" t="s">
        <v>26</v>
      </c>
      <c r="J1508" s="15" t="n">
        <v>2006</v>
      </c>
      <c r="K1508" s="19" t="s">
        <v>27</v>
      </c>
      <c r="L1508" s="15" t="s">
        <v>28</v>
      </c>
      <c r="M1508" s="15" t="s">
        <v>33</v>
      </c>
      <c r="N1508" s="17" t="s">
        <v>83</v>
      </c>
      <c r="O1508" s="15"/>
      <c r="P1508" s="15"/>
      <c r="Q1508" s="21" t="s">
        <v>939</v>
      </c>
      <c r="R1508" s="21"/>
      <c r="S1508" s="21"/>
      <c r="T1508" s="28"/>
      <c r="U1508" s="24" t="s">
        <v>3330</v>
      </c>
    </row>
    <row r="1509" s="25" customFormat="true" ht="41.4" hidden="false" customHeight="false" outlineLevel="0" collapsed="false">
      <c r="A1509" s="36" t="s">
        <v>3331</v>
      </c>
      <c r="B1509" s="26" t="s">
        <v>3332</v>
      </c>
      <c r="C1509" s="14" t="s">
        <v>122</v>
      </c>
      <c r="D1509" s="15" t="n">
        <v>12</v>
      </c>
      <c r="E1509" s="27" t="n">
        <v>23628</v>
      </c>
      <c r="F1509" s="16" t="n">
        <v>39204</v>
      </c>
      <c r="G1509" s="15" t="s">
        <v>36</v>
      </c>
      <c r="H1509" s="17" t="s">
        <v>25</v>
      </c>
      <c r="I1509" s="18" t="s">
        <v>26</v>
      </c>
      <c r="J1509" s="15" t="n">
        <v>2017</v>
      </c>
      <c r="K1509" s="19" t="s">
        <v>27</v>
      </c>
      <c r="L1509" s="15" t="s">
        <v>28</v>
      </c>
      <c r="M1509" s="15" t="s">
        <v>33</v>
      </c>
      <c r="N1509" s="17" t="s">
        <v>83</v>
      </c>
      <c r="O1509" s="15"/>
      <c r="P1509" s="15"/>
      <c r="Q1509" s="21"/>
      <c r="R1509" s="21"/>
      <c r="S1509" s="21"/>
      <c r="T1509" s="28"/>
      <c r="U1509" s="24"/>
    </row>
    <row r="1510" s="25" customFormat="true" ht="41.4" hidden="false" customHeight="false" outlineLevel="0" collapsed="false">
      <c r="A1510" s="36" t="s">
        <v>3333</v>
      </c>
      <c r="B1510" s="26" t="s">
        <v>3334</v>
      </c>
      <c r="C1510" s="14" t="s">
        <v>3335</v>
      </c>
      <c r="D1510" s="15" t="n">
        <v>10</v>
      </c>
      <c r="E1510" s="27" t="n">
        <f aca="false">F1510/2</f>
        <v>2200</v>
      </c>
      <c r="F1510" s="16" t="n">
        <v>4400</v>
      </c>
      <c r="G1510" s="15" t="s">
        <v>24</v>
      </c>
      <c r="H1510" s="17" t="s">
        <v>25</v>
      </c>
      <c r="I1510" s="18" t="s">
        <v>26</v>
      </c>
      <c r="J1510" s="15"/>
      <c r="K1510" s="19" t="s">
        <v>27</v>
      </c>
      <c r="L1510" s="15" t="s">
        <v>28</v>
      </c>
      <c r="M1510" s="15" t="s">
        <v>33</v>
      </c>
      <c r="N1510" s="17"/>
      <c r="O1510" s="15"/>
      <c r="P1510" s="15"/>
      <c r="Q1510" s="21" t="s">
        <v>55</v>
      </c>
      <c r="R1510" s="21"/>
      <c r="S1510" s="21"/>
      <c r="T1510" s="28"/>
      <c r="U1510" s="24"/>
    </row>
    <row r="1511" s="25" customFormat="true" ht="41.4" hidden="false" customHeight="false" outlineLevel="0" collapsed="false">
      <c r="A1511" s="36" t="s">
        <v>3336</v>
      </c>
      <c r="B1511" s="26" t="s">
        <v>3337</v>
      </c>
      <c r="C1511" s="14" t="s">
        <v>475</v>
      </c>
      <c r="D1511" s="15" t="n">
        <v>6</v>
      </c>
      <c r="E1511" s="27" t="n">
        <f aca="false">F1511/2</f>
        <v>26280</v>
      </c>
      <c r="F1511" s="16" t="n">
        <f aca="false">21900*2*1.2</f>
        <v>52560</v>
      </c>
      <c r="G1511" s="15" t="s">
        <v>36</v>
      </c>
      <c r="H1511" s="17" t="s">
        <v>25</v>
      </c>
      <c r="I1511" s="18" t="s">
        <v>26</v>
      </c>
      <c r="J1511" s="15" t="n">
        <v>2019</v>
      </c>
      <c r="K1511" s="19" t="s">
        <v>27</v>
      </c>
      <c r="L1511" s="15" t="s">
        <v>28</v>
      </c>
      <c r="M1511" s="15" t="s">
        <v>33</v>
      </c>
      <c r="N1511" s="17" t="s">
        <v>45</v>
      </c>
      <c r="O1511" s="15" t="s">
        <v>54</v>
      </c>
      <c r="P1511" s="15"/>
      <c r="Q1511" s="21" t="s">
        <v>476</v>
      </c>
      <c r="R1511" s="21"/>
      <c r="S1511" s="21"/>
      <c r="T1511" s="31" t="n">
        <v>45846</v>
      </c>
      <c r="U1511" s="24"/>
    </row>
    <row r="1512" s="25" customFormat="true" ht="41.4" hidden="false" customHeight="false" outlineLevel="0" collapsed="false">
      <c r="A1512" s="36" t="s">
        <v>3338</v>
      </c>
      <c r="B1512" s="26" t="s">
        <v>3339</v>
      </c>
      <c r="C1512" s="14" t="s">
        <v>86</v>
      </c>
      <c r="D1512" s="15" t="n">
        <v>6</v>
      </c>
      <c r="E1512" s="27" t="n">
        <f aca="false">F1512/2</f>
        <v>7722</v>
      </c>
      <c r="F1512" s="32" t="n">
        <v>15444</v>
      </c>
      <c r="G1512" s="15" t="s">
        <v>24</v>
      </c>
      <c r="H1512" s="17" t="s">
        <v>25</v>
      </c>
      <c r="I1512" s="18" t="s">
        <v>26</v>
      </c>
      <c r="J1512" s="15" t="n">
        <v>2014</v>
      </c>
      <c r="K1512" s="19" t="s">
        <v>59</v>
      </c>
      <c r="L1512" s="15" t="s">
        <v>28</v>
      </c>
      <c r="M1512" s="15" t="s">
        <v>33</v>
      </c>
      <c r="N1512" s="17" t="s">
        <v>153</v>
      </c>
      <c r="O1512" s="15"/>
      <c r="P1512" s="15"/>
      <c r="Q1512" s="21" t="s">
        <v>577</v>
      </c>
      <c r="R1512" s="21"/>
      <c r="S1512" s="21"/>
      <c r="T1512" s="31" t="n">
        <v>45882</v>
      </c>
      <c r="U1512" s="24" t="s">
        <v>3340</v>
      </c>
    </row>
    <row r="1513" s="25" customFormat="true" ht="41.4" hidden="false" customHeight="false" outlineLevel="0" collapsed="false">
      <c r="A1513" s="36" t="s">
        <v>3341</v>
      </c>
      <c r="B1513" s="26" t="s">
        <v>3342</v>
      </c>
      <c r="C1513" s="14" t="s">
        <v>246</v>
      </c>
      <c r="D1513" s="15" t="n">
        <v>6</v>
      </c>
      <c r="E1513" s="27" t="n">
        <f aca="false">F1513/2</f>
        <v>11667</v>
      </c>
      <c r="F1513" s="38" t="n">
        <v>23334</v>
      </c>
      <c r="G1513" s="15" t="s">
        <v>36</v>
      </c>
      <c r="H1513" s="17" t="s">
        <v>25</v>
      </c>
      <c r="I1513" s="18" t="s">
        <v>26</v>
      </c>
      <c r="J1513" s="15" t="n">
        <v>2017</v>
      </c>
      <c r="K1513" s="19" t="s">
        <v>27</v>
      </c>
      <c r="L1513" s="15" t="s">
        <v>28</v>
      </c>
      <c r="M1513" s="15" t="s">
        <v>33</v>
      </c>
      <c r="N1513" s="17" t="s">
        <v>153</v>
      </c>
      <c r="O1513" s="15"/>
      <c r="P1513" s="15"/>
      <c r="Q1513" s="21" t="s">
        <v>247</v>
      </c>
      <c r="R1513" s="21"/>
      <c r="S1513" s="21"/>
      <c r="T1513" s="31" t="n">
        <v>45882</v>
      </c>
      <c r="U1513" s="24" t="s">
        <v>248</v>
      </c>
    </row>
    <row r="1514" s="25" customFormat="true" ht="41.4" hidden="false" customHeight="false" outlineLevel="0" collapsed="false">
      <c r="A1514" s="36" t="s">
        <v>3343</v>
      </c>
      <c r="B1514" s="26" t="s">
        <v>3344</v>
      </c>
      <c r="C1514" s="14" t="s">
        <v>155</v>
      </c>
      <c r="D1514" s="15" t="n">
        <v>12</v>
      </c>
      <c r="E1514" s="27" t="n">
        <f aca="false">F1514/2</f>
        <v>9315</v>
      </c>
      <c r="F1514" s="52" t="n">
        <v>18630</v>
      </c>
      <c r="G1514" s="15" t="s">
        <v>36</v>
      </c>
      <c r="H1514" s="17" t="s">
        <v>25</v>
      </c>
      <c r="I1514" s="18" t="s">
        <v>26</v>
      </c>
      <c r="J1514" s="15" t="n">
        <v>2017</v>
      </c>
      <c r="K1514" s="19" t="s">
        <v>65</v>
      </c>
      <c r="L1514" s="15" t="s">
        <v>28</v>
      </c>
      <c r="M1514" s="15" t="s">
        <v>33</v>
      </c>
      <c r="N1514" s="17" t="s">
        <v>153</v>
      </c>
      <c r="O1514" s="15"/>
      <c r="P1514" s="15"/>
      <c r="Q1514" s="21" t="s">
        <v>78</v>
      </c>
      <c r="R1514" s="21"/>
      <c r="S1514" s="21"/>
      <c r="T1514" s="28"/>
      <c r="U1514" s="24"/>
      <c r="V1514" s="37"/>
      <c r="W1514" s="37"/>
    </row>
    <row r="1515" s="25" customFormat="true" ht="41.4" hidden="false" customHeight="false" outlineLevel="0" collapsed="false">
      <c r="A1515" s="36" t="s">
        <v>3345</v>
      </c>
      <c r="B1515" s="26"/>
      <c r="C1515" s="14" t="s">
        <v>2539</v>
      </c>
      <c r="D1515" s="15" t="n">
        <v>6</v>
      </c>
      <c r="E1515" s="27" t="n">
        <f aca="false">F1515/2</f>
        <v>37950</v>
      </c>
      <c r="F1515" s="16" t="n">
        <v>75900</v>
      </c>
      <c r="G1515" s="15" t="s">
        <v>36</v>
      </c>
      <c r="H1515" s="17" t="s">
        <v>25</v>
      </c>
      <c r="I1515" s="18" t="s">
        <v>26</v>
      </c>
      <c r="J1515" s="15" t="n">
        <v>2023</v>
      </c>
      <c r="K1515" s="19" t="s">
        <v>27</v>
      </c>
      <c r="L1515" s="15" t="s">
        <v>28</v>
      </c>
      <c r="M1515" s="15" t="s">
        <v>33</v>
      </c>
      <c r="N1515" s="17"/>
      <c r="O1515" s="15"/>
      <c r="P1515" s="15"/>
      <c r="Q1515" s="21"/>
      <c r="R1515" s="21"/>
      <c r="S1515" s="21"/>
      <c r="T1515" s="31" t="n">
        <v>45883</v>
      </c>
      <c r="U1515" s="24"/>
    </row>
    <row r="1516" s="25" customFormat="true" ht="41.4" hidden="false" customHeight="false" outlineLevel="0" collapsed="false">
      <c r="A1516" s="36" t="s">
        <v>3346</v>
      </c>
      <c r="B1516" s="26" t="s">
        <v>3347</v>
      </c>
      <c r="C1516" s="14" t="s">
        <v>246</v>
      </c>
      <c r="D1516" s="15" t="n">
        <v>6</v>
      </c>
      <c r="E1516" s="27" t="n">
        <f aca="false">F1516/2</f>
        <v>12592</v>
      </c>
      <c r="F1516" s="38" t="n">
        <v>25184</v>
      </c>
      <c r="G1516" s="15" t="s">
        <v>36</v>
      </c>
      <c r="H1516" s="17" t="s">
        <v>25</v>
      </c>
      <c r="I1516" s="18" t="s">
        <v>26</v>
      </c>
      <c r="J1516" s="15" t="n">
        <v>2017</v>
      </c>
      <c r="K1516" s="19" t="s">
        <v>27</v>
      </c>
      <c r="L1516" s="15" t="s">
        <v>28</v>
      </c>
      <c r="M1516" s="15" t="s">
        <v>33</v>
      </c>
      <c r="N1516" s="17" t="s">
        <v>153</v>
      </c>
      <c r="O1516" s="15"/>
      <c r="P1516" s="15"/>
      <c r="Q1516" s="21" t="s">
        <v>247</v>
      </c>
      <c r="R1516" s="21"/>
      <c r="S1516" s="21"/>
      <c r="T1516" s="31" t="n">
        <v>45882</v>
      </c>
      <c r="U1516" s="24" t="s">
        <v>248</v>
      </c>
    </row>
    <row r="1517" s="25" customFormat="true" ht="41.4" hidden="false" customHeight="false" outlineLevel="0" collapsed="false">
      <c r="A1517" s="36" t="s">
        <v>3348</v>
      </c>
      <c r="B1517" s="26" t="s">
        <v>3349</v>
      </c>
      <c r="C1517" s="14" t="s">
        <v>246</v>
      </c>
      <c r="D1517" s="15" t="n">
        <v>12</v>
      </c>
      <c r="E1517" s="27" t="n">
        <f aca="false">F1517/2</f>
        <v>23917.5</v>
      </c>
      <c r="F1517" s="38" t="n">
        <v>47835</v>
      </c>
      <c r="G1517" s="15" t="s">
        <v>36</v>
      </c>
      <c r="H1517" s="17" t="s">
        <v>25</v>
      </c>
      <c r="I1517" s="18" t="s">
        <v>26</v>
      </c>
      <c r="J1517" s="15" t="n">
        <v>2017</v>
      </c>
      <c r="K1517" s="19" t="s">
        <v>27</v>
      </c>
      <c r="L1517" s="15" t="s">
        <v>28</v>
      </c>
      <c r="M1517" s="15" t="s">
        <v>33</v>
      </c>
      <c r="N1517" s="17" t="s">
        <v>153</v>
      </c>
      <c r="O1517" s="15"/>
      <c r="P1517" s="15"/>
      <c r="Q1517" s="21" t="s">
        <v>247</v>
      </c>
      <c r="R1517" s="21"/>
      <c r="S1517" s="21"/>
      <c r="T1517" s="31" t="n">
        <v>45882</v>
      </c>
      <c r="U1517" s="24" t="s">
        <v>248</v>
      </c>
    </row>
    <row r="1518" s="25" customFormat="true" ht="41.4" hidden="false" customHeight="false" outlineLevel="0" collapsed="false">
      <c r="A1518" s="36" t="s">
        <v>3350</v>
      </c>
      <c r="B1518" s="26" t="s">
        <v>3351</v>
      </c>
      <c r="C1518" s="14" t="s">
        <v>246</v>
      </c>
      <c r="D1518" s="15" t="n">
        <v>12</v>
      </c>
      <c r="E1518" s="27" t="n">
        <f aca="false">F1518/2</f>
        <v>23917.5</v>
      </c>
      <c r="F1518" s="38" t="n">
        <v>47835</v>
      </c>
      <c r="G1518" s="15" t="s">
        <v>36</v>
      </c>
      <c r="H1518" s="17" t="s">
        <v>25</v>
      </c>
      <c r="I1518" s="18" t="s">
        <v>26</v>
      </c>
      <c r="J1518" s="15" t="n">
        <v>2017</v>
      </c>
      <c r="K1518" s="19" t="s">
        <v>27</v>
      </c>
      <c r="L1518" s="15" t="s">
        <v>28</v>
      </c>
      <c r="M1518" s="15" t="s">
        <v>33</v>
      </c>
      <c r="N1518" s="17" t="s">
        <v>153</v>
      </c>
      <c r="O1518" s="15"/>
      <c r="P1518" s="15"/>
      <c r="Q1518" s="21" t="s">
        <v>247</v>
      </c>
      <c r="R1518" s="21"/>
      <c r="S1518" s="21"/>
      <c r="T1518" s="31" t="n">
        <v>45882</v>
      </c>
      <c r="U1518" s="24" t="s">
        <v>248</v>
      </c>
    </row>
    <row r="1519" s="25" customFormat="true" ht="41.4" hidden="false" customHeight="false" outlineLevel="0" collapsed="false">
      <c r="A1519" s="36" t="s">
        <v>3352</v>
      </c>
      <c r="B1519" s="26" t="s">
        <v>3353</v>
      </c>
      <c r="C1519" s="14" t="s">
        <v>155</v>
      </c>
      <c r="D1519" s="15" t="n">
        <v>12</v>
      </c>
      <c r="E1519" s="27" t="n">
        <f aca="false">F1519/2</f>
        <v>9315</v>
      </c>
      <c r="F1519" s="52" t="n">
        <v>18630</v>
      </c>
      <c r="G1519" s="15" t="s">
        <v>36</v>
      </c>
      <c r="H1519" s="17" t="s">
        <v>25</v>
      </c>
      <c r="I1519" s="18" t="s">
        <v>26</v>
      </c>
      <c r="J1519" s="15" t="n">
        <v>2017</v>
      </c>
      <c r="K1519" s="19" t="s">
        <v>65</v>
      </c>
      <c r="L1519" s="15" t="s">
        <v>28</v>
      </c>
      <c r="M1519" s="15" t="s">
        <v>33</v>
      </c>
      <c r="N1519" s="17" t="s">
        <v>153</v>
      </c>
      <c r="O1519" s="15"/>
      <c r="P1519" s="15"/>
      <c r="Q1519" s="21" t="s">
        <v>78</v>
      </c>
      <c r="R1519" s="21"/>
      <c r="S1519" s="21"/>
      <c r="T1519" s="28"/>
      <c r="U1519" s="24"/>
    </row>
    <row r="1520" s="25" customFormat="true" ht="91.2" hidden="false" customHeight="false" outlineLevel="0" collapsed="false">
      <c r="A1520" s="36" t="s">
        <v>3354</v>
      </c>
      <c r="B1520" s="26" t="s">
        <v>3355</v>
      </c>
      <c r="C1520" s="14" t="s">
        <v>86</v>
      </c>
      <c r="D1520" s="15" t="n">
        <v>6</v>
      </c>
      <c r="E1520" s="27" t="n">
        <f aca="false">F1520/2</f>
        <v>9360</v>
      </c>
      <c r="F1520" s="32" t="n">
        <v>18720</v>
      </c>
      <c r="G1520" s="15" t="s">
        <v>24</v>
      </c>
      <c r="H1520" s="17" t="s">
        <v>25</v>
      </c>
      <c r="I1520" s="18" t="s">
        <v>26</v>
      </c>
      <c r="J1520" s="15" t="n">
        <v>2014</v>
      </c>
      <c r="K1520" s="19" t="s">
        <v>59</v>
      </c>
      <c r="L1520" s="15" t="s">
        <v>28</v>
      </c>
      <c r="M1520" s="15" t="s">
        <v>33</v>
      </c>
      <c r="N1520" s="17"/>
      <c r="O1520" s="15"/>
      <c r="P1520" s="15"/>
      <c r="Q1520" s="21" t="s">
        <v>577</v>
      </c>
      <c r="R1520" s="21"/>
      <c r="S1520" s="21"/>
      <c r="T1520" s="31" t="n">
        <v>45882</v>
      </c>
      <c r="U1520" s="24" t="s">
        <v>3356</v>
      </c>
    </row>
    <row r="1521" s="25" customFormat="true" ht="41.4" hidden="false" customHeight="false" outlineLevel="0" collapsed="false">
      <c r="A1521" s="36" t="s">
        <v>3357</v>
      </c>
      <c r="B1521" s="26" t="s">
        <v>3358</v>
      </c>
      <c r="C1521" s="14" t="s">
        <v>246</v>
      </c>
      <c r="D1521" s="15" t="n">
        <v>6</v>
      </c>
      <c r="E1521" s="27" t="n">
        <f aca="false">F1521/2</f>
        <v>11208</v>
      </c>
      <c r="F1521" s="38" t="n">
        <v>22416</v>
      </c>
      <c r="G1521" s="15" t="s">
        <v>36</v>
      </c>
      <c r="H1521" s="17" t="s">
        <v>25</v>
      </c>
      <c r="I1521" s="18" t="s">
        <v>26</v>
      </c>
      <c r="J1521" s="15" t="n">
        <v>2017</v>
      </c>
      <c r="K1521" s="19" t="s">
        <v>27</v>
      </c>
      <c r="L1521" s="15" t="s">
        <v>28</v>
      </c>
      <c r="M1521" s="15" t="s">
        <v>33</v>
      </c>
      <c r="N1521" s="20"/>
      <c r="O1521" s="15"/>
      <c r="P1521" s="15"/>
      <c r="Q1521" s="21" t="s">
        <v>247</v>
      </c>
      <c r="R1521" s="21"/>
      <c r="S1521" s="21"/>
      <c r="T1521" s="31" t="n">
        <v>45882</v>
      </c>
      <c r="U1521" s="24" t="s">
        <v>248</v>
      </c>
    </row>
    <row r="1522" s="25" customFormat="true" ht="41.4" hidden="false" customHeight="false" outlineLevel="0" collapsed="false">
      <c r="A1522" s="36" t="s">
        <v>3359</v>
      </c>
      <c r="B1522" s="26" t="s">
        <v>3360</v>
      </c>
      <c r="C1522" s="14" t="s">
        <v>246</v>
      </c>
      <c r="D1522" s="15" t="n">
        <v>6</v>
      </c>
      <c r="E1522" s="27" t="n">
        <f aca="false">F1522/2</f>
        <v>12820</v>
      </c>
      <c r="F1522" s="38" t="n">
        <v>25640</v>
      </c>
      <c r="G1522" s="15" t="s">
        <v>36</v>
      </c>
      <c r="H1522" s="17" t="s">
        <v>25</v>
      </c>
      <c r="I1522" s="18" t="s">
        <v>26</v>
      </c>
      <c r="J1522" s="15" t="n">
        <v>2017</v>
      </c>
      <c r="K1522" s="19" t="s">
        <v>27</v>
      </c>
      <c r="L1522" s="15" t="s">
        <v>28</v>
      </c>
      <c r="M1522" s="15" t="s">
        <v>33</v>
      </c>
      <c r="N1522" s="20" t="s">
        <v>66</v>
      </c>
      <c r="O1522" s="15"/>
      <c r="P1522" s="15"/>
      <c r="Q1522" s="21" t="s">
        <v>247</v>
      </c>
      <c r="R1522" s="21"/>
      <c r="S1522" s="21"/>
      <c r="T1522" s="31" t="n">
        <v>45882</v>
      </c>
      <c r="U1522" s="24" t="s">
        <v>248</v>
      </c>
    </row>
    <row r="1523" s="25" customFormat="true" ht="41.4" hidden="false" customHeight="false" outlineLevel="0" collapsed="false">
      <c r="A1523" s="36" t="s">
        <v>3361</v>
      </c>
      <c r="B1523" s="26" t="s">
        <v>3362</v>
      </c>
      <c r="C1523" s="14" t="s">
        <v>246</v>
      </c>
      <c r="D1523" s="15" t="n">
        <v>6</v>
      </c>
      <c r="E1523" s="27" t="n">
        <f aca="false">F1523/2</f>
        <v>12820</v>
      </c>
      <c r="F1523" s="38" t="n">
        <v>25640</v>
      </c>
      <c r="G1523" s="15" t="s">
        <v>36</v>
      </c>
      <c r="H1523" s="17" t="s">
        <v>25</v>
      </c>
      <c r="I1523" s="18" t="s">
        <v>26</v>
      </c>
      <c r="J1523" s="15" t="n">
        <v>2017</v>
      </c>
      <c r="K1523" s="19" t="s">
        <v>27</v>
      </c>
      <c r="L1523" s="15" t="s">
        <v>28</v>
      </c>
      <c r="M1523" s="15" t="s">
        <v>33</v>
      </c>
      <c r="N1523" s="20" t="s">
        <v>66</v>
      </c>
      <c r="O1523" s="15"/>
      <c r="P1523" s="15"/>
      <c r="Q1523" s="21" t="s">
        <v>247</v>
      </c>
      <c r="R1523" s="21"/>
      <c r="S1523" s="21"/>
      <c r="T1523" s="31" t="n">
        <v>45882</v>
      </c>
      <c r="U1523" s="24" t="s">
        <v>248</v>
      </c>
    </row>
    <row r="1524" s="25" customFormat="true" ht="41.4" hidden="false" customHeight="false" outlineLevel="0" collapsed="false">
      <c r="A1524" s="63" t="s">
        <v>3363</v>
      </c>
      <c r="B1524" s="26"/>
      <c r="C1524" s="14" t="s">
        <v>264</v>
      </c>
      <c r="D1524" s="30" t="n">
        <v>6</v>
      </c>
      <c r="E1524" s="16" t="n">
        <f aca="false">F1524/2</f>
        <v>2222.658</v>
      </c>
      <c r="F1524" s="16" t="n">
        <f aca="false">45828*0.097</f>
        <v>4445.316</v>
      </c>
      <c r="G1524" s="15" t="s">
        <v>36</v>
      </c>
      <c r="H1524" s="17" t="s">
        <v>25</v>
      </c>
      <c r="I1524" s="18" t="s">
        <v>26</v>
      </c>
      <c r="J1524" s="15" t="n">
        <v>2024</v>
      </c>
      <c r="K1524" s="19" t="s">
        <v>27</v>
      </c>
      <c r="L1524" s="15" t="s">
        <v>28</v>
      </c>
      <c r="M1524" s="15" t="s">
        <v>33</v>
      </c>
      <c r="N1524" s="17" t="s">
        <v>83</v>
      </c>
      <c r="O1524" s="60"/>
      <c r="P1524" s="60"/>
      <c r="Q1524" s="21"/>
      <c r="R1524" s="21"/>
      <c r="S1524" s="40"/>
      <c r="T1524" s="31" t="n">
        <v>45880</v>
      </c>
      <c r="U1524" s="41"/>
    </row>
    <row r="1525" s="25" customFormat="true" ht="41.4" hidden="false" customHeight="false" outlineLevel="0" collapsed="false">
      <c r="A1525" s="36" t="s">
        <v>3364</v>
      </c>
      <c r="B1525" s="26" t="s">
        <v>3365</v>
      </c>
      <c r="C1525" s="14" t="s">
        <v>3366</v>
      </c>
      <c r="D1525" s="15" t="n">
        <v>4</v>
      </c>
      <c r="E1525" s="27" t="n">
        <f aca="false">F1525/2</f>
        <v>50</v>
      </c>
      <c r="F1525" s="16" t="n">
        <v>100</v>
      </c>
      <c r="G1525" s="15" t="s">
        <v>36</v>
      </c>
      <c r="H1525" s="17" t="s">
        <v>25</v>
      </c>
      <c r="I1525" s="18" t="s">
        <v>26</v>
      </c>
      <c r="J1525" s="15" t="n">
        <v>2020</v>
      </c>
      <c r="K1525" s="19" t="s">
        <v>27</v>
      </c>
      <c r="L1525" s="15" t="s">
        <v>28</v>
      </c>
      <c r="M1525" s="15" t="s">
        <v>33</v>
      </c>
      <c r="N1525" s="20" t="s">
        <v>83</v>
      </c>
      <c r="O1525" s="15"/>
      <c r="P1525" s="15"/>
      <c r="Q1525" s="21"/>
      <c r="R1525" s="21"/>
      <c r="S1525" s="21"/>
      <c r="T1525" s="28"/>
      <c r="U1525" s="34"/>
    </row>
    <row r="1526" s="25" customFormat="true" ht="41.4" hidden="false" customHeight="false" outlineLevel="0" collapsed="false">
      <c r="A1526" s="36" t="s">
        <v>3367</v>
      </c>
      <c r="B1526" s="26" t="s">
        <v>3368</v>
      </c>
      <c r="C1526" s="14" t="s">
        <v>475</v>
      </c>
      <c r="D1526" s="15" t="n">
        <v>6</v>
      </c>
      <c r="E1526" s="27" t="n">
        <f aca="false">F1526/2</f>
        <v>26280</v>
      </c>
      <c r="F1526" s="16" t="n">
        <f aca="false">21900*2*1.2</f>
        <v>52560</v>
      </c>
      <c r="G1526" s="15" t="s">
        <v>36</v>
      </c>
      <c r="H1526" s="17" t="s">
        <v>25</v>
      </c>
      <c r="I1526" s="18" t="s">
        <v>26</v>
      </c>
      <c r="J1526" s="15" t="n">
        <v>2019</v>
      </c>
      <c r="K1526" s="19" t="s">
        <v>27</v>
      </c>
      <c r="L1526" s="15" t="s">
        <v>28</v>
      </c>
      <c r="M1526" s="15" t="s">
        <v>33</v>
      </c>
      <c r="N1526" s="17" t="s">
        <v>45</v>
      </c>
      <c r="O1526" s="15" t="s">
        <v>54</v>
      </c>
      <c r="P1526" s="15"/>
      <c r="Q1526" s="21" t="s">
        <v>476</v>
      </c>
      <c r="R1526" s="21"/>
      <c r="S1526" s="21"/>
      <c r="T1526" s="31" t="n">
        <v>45846</v>
      </c>
      <c r="U1526" s="24"/>
    </row>
    <row r="1527" s="25" customFormat="true" ht="41.4" hidden="false" customHeight="false" outlineLevel="0" collapsed="false">
      <c r="A1527" s="36" t="s">
        <v>3369</v>
      </c>
      <c r="B1527" s="26" t="s">
        <v>3370</v>
      </c>
      <c r="C1527" s="14" t="s">
        <v>3371</v>
      </c>
      <c r="D1527" s="15" t="n">
        <v>6</v>
      </c>
      <c r="E1527" s="27" t="n">
        <v>1250</v>
      </c>
      <c r="F1527" s="16" t="n">
        <v>2500</v>
      </c>
      <c r="G1527" s="15" t="s">
        <v>36</v>
      </c>
      <c r="H1527" s="17" t="s">
        <v>25</v>
      </c>
      <c r="I1527" s="18" t="s">
        <v>26</v>
      </c>
      <c r="J1527" s="15" t="n">
        <v>2016</v>
      </c>
      <c r="K1527" s="19" t="s">
        <v>27</v>
      </c>
      <c r="L1527" s="15" t="s">
        <v>28</v>
      </c>
      <c r="M1527" s="15" t="s">
        <v>33</v>
      </c>
      <c r="N1527" s="17" t="s">
        <v>1461</v>
      </c>
      <c r="O1527" s="15"/>
      <c r="P1527" s="15"/>
      <c r="Q1527" s="21" t="s">
        <v>1972</v>
      </c>
      <c r="R1527" s="21"/>
      <c r="S1527" s="21"/>
      <c r="T1527" s="28"/>
      <c r="U1527" s="24"/>
      <c r="V1527" s="37"/>
      <c r="W1527" s="37"/>
    </row>
    <row r="1528" s="25" customFormat="true" ht="41.4" hidden="false" customHeight="false" outlineLevel="0" collapsed="false">
      <c r="A1528" s="36" t="s">
        <v>3372</v>
      </c>
      <c r="B1528" s="26" t="s">
        <v>3373</v>
      </c>
      <c r="C1528" s="14" t="s">
        <v>3374</v>
      </c>
      <c r="D1528" s="15" t="n">
        <v>6</v>
      </c>
      <c r="E1528" s="27" t="n">
        <f aca="false">F1528/2</f>
        <v>2600</v>
      </c>
      <c r="F1528" s="16" t="n">
        <v>5200</v>
      </c>
      <c r="G1528" s="15" t="s">
        <v>24</v>
      </c>
      <c r="H1528" s="17" t="s">
        <v>25</v>
      </c>
      <c r="I1528" s="18" t="s">
        <v>26</v>
      </c>
      <c r="J1528" s="15" t="n">
        <v>2012</v>
      </c>
      <c r="K1528" s="19" t="s">
        <v>27</v>
      </c>
      <c r="L1528" s="15" t="s">
        <v>28</v>
      </c>
      <c r="M1528" s="15" t="s">
        <v>33</v>
      </c>
      <c r="N1528" s="17" t="s">
        <v>160</v>
      </c>
      <c r="O1528" s="15"/>
      <c r="P1528" s="15"/>
      <c r="Q1528" s="21" t="s">
        <v>47</v>
      </c>
      <c r="R1528" s="21"/>
      <c r="S1528" s="21"/>
      <c r="T1528" s="31" t="n">
        <v>45909</v>
      </c>
      <c r="U1528" s="24"/>
    </row>
    <row r="1529" s="25" customFormat="true" ht="41.4" hidden="false" customHeight="false" outlineLevel="0" collapsed="false">
      <c r="A1529" s="36" t="s">
        <v>3375</v>
      </c>
      <c r="B1529" s="26" t="s">
        <v>3376</v>
      </c>
      <c r="C1529" s="14" t="s">
        <v>640</v>
      </c>
      <c r="D1529" s="15" t="n">
        <v>4</v>
      </c>
      <c r="E1529" s="27" t="n">
        <f aca="false">F1529/2</f>
        <v>50</v>
      </c>
      <c r="F1529" s="16" t="n">
        <v>100</v>
      </c>
      <c r="G1529" s="15" t="s">
        <v>36</v>
      </c>
      <c r="H1529" s="17" t="s">
        <v>25</v>
      </c>
      <c r="I1529" s="18" t="s">
        <v>26</v>
      </c>
      <c r="J1529" s="15" t="n">
        <v>2019</v>
      </c>
      <c r="K1529" s="19" t="s">
        <v>27</v>
      </c>
      <c r="L1529" s="15" t="s">
        <v>28</v>
      </c>
      <c r="M1529" s="15" t="s">
        <v>33</v>
      </c>
      <c r="N1529" s="17" t="s">
        <v>160</v>
      </c>
      <c r="O1529" s="15"/>
      <c r="P1529" s="15"/>
      <c r="Q1529" s="21"/>
      <c r="R1529" s="21"/>
      <c r="S1529" s="21"/>
      <c r="T1529" s="28"/>
      <c r="U1529" s="34"/>
    </row>
    <row r="1530" s="25" customFormat="true" ht="41.4" hidden="false" customHeight="false" outlineLevel="0" collapsed="false">
      <c r="A1530" s="36" t="s">
        <v>3377</v>
      </c>
      <c r="B1530" s="26" t="s">
        <v>3378</v>
      </c>
      <c r="C1530" s="14" t="s">
        <v>2511</v>
      </c>
      <c r="D1530" s="15" t="n">
        <v>12</v>
      </c>
      <c r="E1530" s="27" t="n">
        <f aca="false">F1530/2</f>
        <v>50</v>
      </c>
      <c r="F1530" s="16" t="n">
        <v>100</v>
      </c>
      <c r="G1530" s="15" t="s">
        <v>36</v>
      </c>
      <c r="H1530" s="17" t="s">
        <v>25</v>
      </c>
      <c r="I1530" s="18" t="s">
        <v>26</v>
      </c>
      <c r="J1530" s="17" t="n">
        <v>2020</v>
      </c>
      <c r="K1530" s="19" t="s">
        <v>2512</v>
      </c>
      <c r="L1530" s="15" t="s">
        <v>28</v>
      </c>
      <c r="M1530" s="15" t="s">
        <v>33</v>
      </c>
      <c r="N1530" s="17" t="s">
        <v>160</v>
      </c>
      <c r="O1530" s="15"/>
      <c r="P1530" s="15"/>
      <c r="Q1530" s="21"/>
      <c r="R1530" s="21"/>
      <c r="S1530" s="21"/>
      <c r="T1530" s="28"/>
      <c r="U1530" s="34"/>
      <c r="V1530" s="37"/>
      <c r="W1530" s="37"/>
    </row>
    <row r="1531" s="25" customFormat="true" ht="41.4" hidden="false" customHeight="false" outlineLevel="0" collapsed="false">
      <c r="A1531" s="36" t="s">
        <v>3379</v>
      </c>
      <c r="B1531" s="26" t="s">
        <v>3380</v>
      </c>
      <c r="C1531" s="14"/>
      <c r="D1531" s="15" t="n">
        <v>4</v>
      </c>
      <c r="E1531" s="27" t="n">
        <f aca="false">F1531/2</f>
        <v>100</v>
      </c>
      <c r="F1531" s="16" t="n">
        <f aca="false">4*50</f>
        <v>200</v>
      </c>
      <c r="G1531" s="15" t="s">
        <v>36</v>
      </c>
      <c r="H1531" s="17" t="s">
        <v>25</v>
      </c>
      <c r="I1531" s="18" t="s">
        <v>26</v>
      </c>
      <c r="J1531" s="15" t="n">
        <v>2012</v>
      </c>
      <c r="K1531" s="19" t="s">
        <v>52</v>
      </c>
      <c r="L1531" s="15" t="s">
        <v>28</v>
      </c>
      <c r="M1531" s="15" t="s">
        <v>33</v>
      </c>
      <c r="N1531" s="17" t="s">
        <v>160</v>
      </c>
      <c r="O1531" s="15"/>
      <c r="P1531" s="15"/>
      <c r="Q1531" s="21" t="s">
        <v>1972</v>
      </c>
      <c r="R1531" s="21"/>
      <c r="S1531" s="21"/>
      <c r="T1531" s="28"/>
      <c r="U1531" s="24"/>
    </row>
    <row r="1532" s="25" customFormat="true" ht="41.4" hidden="false" customHeight="false" outlineLevel="0" collapsed="false">
      <c r="A1532" s="36" t="s">
        <v>3381</v>
      </c>
      <c r="B1532" s="26"/>
      <c r="C1532" s="14" t="s">
        <v>1459</v>
      </c>
      <c r="D1532" s="15" t="n">
        <v>4</v>
      </c>
      <c r="E1532" s="27" t="n">
        <v>50</v>
      </c>
      <c r="F1532" s="16" t="n">
        <v>100</v>
      </c>
      <c r="G1532" s="15" t="s">
        <v>36</v>
      </c>
      <c r="H1532" s="17" t="s">
        <v>25</v>
      </c>
      <c r="I1532" s="18" t="s">
        <v>26</v>
      </c>
      <c r="J1532" s="15" t="n">
        <v>2023</v>
      </c>
      <c r="K1532" s="19" t="s">
        <v>1460</v>
      </c>
      <c r="L1532" s="15" t="s">
        <v>28</v>
      </c>
      <c r="M1532" s="15" t="s">
        <v>33</v>
      </c>
      <c r="N1532" s="17" t="s">
        <v>160</v>
      </c>
      <c r="O1532" s="15"/>
      <c r="P1532" s="15"/>
      <c r="Q1532" s="21"/>
      <c r="R1532" s="21"/>
      <c r="S1532" s="21"/>
      <c r="T1532" s="28"/>
      <c r="U1532" s="34"/>
    </row>
    <row r="1533" s="25" customFormat="true" ht="41.4" hidden="false" customHeight="false" outlineLevel="0" collapsed="false">
      <c r="A1533" s="36" t="s">
        <v>3382</v>
      </c>
      <c r="B1533" s="26" t="s">
        <v>3383</v>
      </c>
      <c r="C1533" s="14" t="s">
        <v>197</v>
      </c>
      <c r="D1533" s="15" t="n">
        <v>4</v>
      </c>
      <c r="E1533" s="27" t="n">
        <f aca="false">F1533/2</f>
        <v>625</v>
      </c>
      <c r="F1533" s="16" t="n">
        <v>1250</v>
      </c>
      <c r="G1533" s="15" t="s">
        <v>36</v>
      </c>
      <c r="H1533" s="17" t="s">
        <v>25</v>
      </c>
      <c r="I1533" s="18" t="s">
        <v>26</v>
      </c>
      <c r="J1533" s="15" t="n">
        <v>2020</v>
      </c>
      <c r="K1533" s="19" t="s">
        <v>27</v>
      </c>
      <c r="L1533" s="15" t="s">
        <v>28</v>
      </c>
      <c r="M1533" s="15" t="s">
        <v>33</v>
      </c>
      <c r="N1533" s="20" t="s">
        <v>719</v>
      </c>
      <c r="O1533" s="15"/>
      <c r="P1533" s="15"/>
      <c r="Q1533" s="21"/>
      <c r="R1533" s="21"/>
      <c r="S1533" s="21"/>
      <c r="T1533" s="28"/>
      <c r="U1533" s="34"/>
    </row>
    <row r="1534" s="25" customFormat="true" ht="41.4" hidden="false" customHeight="false" outlineLevel="0" collapsed="false">
      <c r="A1534" s="36" t="s">
        <v>3384</v>
      </c>
      <c r="B1534" s="26" t="s">
        <v>3385</v>
      </c>
      <c r="C1534" s="14"/>
      <c r="D1534" s="15" t="n">
        <v>4</v>
      </c>
      <c r="E1534" s="27" t="n">
        <f aca="false">F1534/2</f>
        <v>300</v>
      </c>
      <c r="F1534" s="16" t="n">
        <v>600</v>
      </c>
      <c r="G1534" s="15" t="s">
        <v>36</v>
      </c>
      <c r="H1534" s="17" t="s">
        <v>25</v>
      </c>
      <c r="I1534" s="18" t="s">
        <v>26</v>
      </c>
      <c r="J1534" s="15" t="n">
        <v>2020</v>
      </c>
      <c r="K1534" s="19" t="s">
        <v>27</v>
      </c>
      <c r="L1534" s="15" t="s">
        <v>28</v>
      </c>
      <c r="M1534" s="15" t="s">
        <v>33</v>
      </c>
      <c r="N1534" s="20" t="s">
        <v>719</v>
      </c>
      <c r="O1534" s="15"/>
      <c r="P1534" s="15"/>
      <c r="Q1534" s="21"/>
      <c r="R1534" s="21"/>
      <c r="S1534" s="21"/>
      <c r="T1534" s="28"/>
      <c r="U1534" s="34"/>
    </row>
    <row r="1535" s="25" customFormat="true" ht="41.4" hidden="false" customHeight="false" outlineLevel="0" collapsed="false">
      <c r="A1535" s="36" t="s">
        <v>3386</v>
      </c>
      <c r="B1535" s="26" t="s">
        <v>3387</v>
      </c>
      <c r="C1535" s="14" t="s">
        <v>197</v>
      </c>
      <c r="D1535" s="15" t="n">
        <v>12</v>
      </c>
      <c r="E1535" s="27" t="n">
        <f aca="false">F1535/2</f>
        <v>4125</v>
      </c>
      <c r="F1535" s="16" t="n">
        <v>8250</v>
      </c>
      <c r="G1535" s="15" t="s">
        <v>36</v>
      </c>
      <c r="H1535" s="17" t="s">
        <v>25</v>
      </c>
      <c r="I1535" s="18" t="s">
        <v>26</v>
      </c>
      <c r="J1535" s="15" t="n">
        <v>2020</v>
      </c>
      <c r="K1535" s="19" t="s">
        <v>27</v>
      </c>
      <c r="L1535" s="15" t="s">
        <v>28</v>
      </c>
      <c r="M1535" s="15" t="s">
        <v>33</v>
      </c>
      <c r="N1535" s="20" t="s">
        <v>719</v>
      </c>
      <c r="O1535" s="15"/>
      <c r="P1535" s="15"/>
      <c r="Q1535" s="21"/>
      <c r="R1535" s="21"/>
      <c r="S1535" s="21"/>
      <c r="T1535" s="28"/>
      <c r="U1535" s="34"/>
    </row>
    <row r="1536" s="25" customFormat="true" ht="41.4" hidden="false" customHeight="false" outlineLevel="0" collapsed="false">
      <c r="A1536" s="36" t="s">
        <v>3388</v>
      </c>
      <c r="B1536" s="26" t="s">
        <v>3389</v>
      </c>
      <c r="C1536" s="14" t="s">
        <v>86</v>
      </c>
      <c r="D1536" s="15" t="n">
        <v>4</v>
      </c>
      <c r="E1536" s="27" t="n">
        <f aca="false">F1536/2</f>
        <v>2587</v>
      </c>
      <c r="F1536" s="32" t="n">
        <v>5174</v>
      </c>
      <c r="G1536" s="15" t="s">
        <v>24</v>
      </c>
      <c r="H1536" s="17" t="s">
        <v>25</v>
      </c>
      <c r="I1536" s="18" t="s">
        <v>26</v>
      </c>
      <c r="J1536" s="15" t="n">
        <v>2014</v>
      </c>
      <c r="K1536" s="19" t="s">
        <v>59</v>
      </c>
      <c r="L1536" s="15" t="s">
        <v>28</v>
      </c>
      <c r="M1536" s="15" t="s">
        <v>33</v>
      </c>
      <c r="N1536" s="20" t="s">
        <v>719</v>
      </c>
      <c r="O1536" s="15" t="s">
        <v>250</v>
      </c>
      <c r="P1536" s="15"/>
      <c r="Q1536" s="21" t="s">
        <v>1972</v>
      </c>
      <c r="R1536" s="21"/>
      <c r="S1536" s="21"/>
      <c r="T1536" s="31" t="n">
        <v>45882</v>
      </c>
      <c r="U1536" s="24" t="s">
        <v>3390</v>
      </c>
    </row>
    <row r="1537" s="25" customFormat="true" ht="41.4" hidden="false" customHeight="false" outlineLevel="0" collapsed="false">
      <c r="A1537" s="36" t="s">
        <v>3391</v>
      </c>
      <c r="B1537" s="26"/>
      <c r="C1537" s="14" t="s">
        <v>1027</v>
      </c>
      <c r="D1537" s="15" t="n">
        <v>2</v>
      </c>
      <c r="E1537" s="27" t="n">
        <f aca="false">F1537/2</f>
        <v>50</v>
      </c>
      <c r="F1537" s="16" t="n">
        <v>100</v>
      </c>
      <c r="G1537" s="15" t="s">
        <v>36</v>
      </c>
      <c r="H1537" s="17" t="s">
        <v>25</v>
      </c>
      <c r="I1537" s="18" t="s">
        <v>26</v>
      </c>
      <c r="J1537" s="15" t="n">
        <v>2025</v>
      </c>
      <c r="K1537" s="19" t="s">
        <v>27</v>
      </c>
      <c r="L1537" s="15" t="s">
        <v>28</v>
      </c>
      <c r="M1537" s="15" t="s">
        <v>33</v>
      </c>
      <c r="N1537" s="17" t="s">
        <v>719</v>
      </c>
      <c r="O1537" s="15"/>
      <c r="P1537" s="15"/>
      <c r="Q1537" s="21"/>
      <c r="R1537" s="21"/>
      <c r="S1537" s="21"/>
      <c r="T1537" s="28"/>
      <c r="U1537" s="24"/>
    </row>
    <row r="1538" s="25" customFormat="true" ht="45.6" hidden="false" customHeight="false" outlineLevel="0" collapsed="false">
      <c r="A1538" s="36" t="s">
        <v>3392</v>
      </c>
      <c r="B1538" s="26" t="s">
        <v>3393</v>
      </c>
      <c r="C1538" s="14" t="s">
        <v>86</v>
      </c>
      <c r="D1538" s="15" t="n">
        <v>4</v>
      </c>
      <c r="E1538" s="27" t="n">
        <f aca="false">F1538/2</f>
        <v>2917</v>
      </c>
      <c r="F1538" s="32" t="n">
        <v>5834</v>
      </c>
      <c r="G1538" s="15" t="s">
        <v>24</v>
      </c>
      <c r="H1538" s="17" t="s">
        <v>25</v>
      </c>
      <c r="I1538" s="18" t="s">
        <v>26</v>
      </c>
      <c r="J1538" s="15" t="n">
        <v>2006</v>
      </c>
      <c r="K1538" s="19" t="s">
        <v>59</v>
      </c>
      <c r="L1538" s="15" t="s">
        <v>28</v>
      </c>
      <c r="M1538" s="15" t="s">
        <v>33</v>
      </c>
      <c r="N1538" s="20" t="s">
        <v>719</v>
      </c>
      <c r="O1538" s="15" t="s">
        <v>46</v>
      </c>
      <c r="P1538" s="15"/>
      <c r="Q1538" s="21" t="s">
        <v>47</v>
      </c>
      <c r="R1538" s="21"/>
      <c r="S1538" s="21"/>
      <c r="T1538" s="31" t="n">
        <v>45882</v>
      </c>
      <c r="U1538" s="24" t="s">
        <v>3394</v>
      </c>
      <c r="V1538" s="37"/>
      <c r="W1538" s="37"/>
    </row>
    <row r="1539" s="25" customFormat="true" ht="41.4" hidden="false" customHeight="false" outlineLevel="0" collapsed="false">
      <c r="A1539" s="36" t="s">
        <v>3395</v>
      </c>
      <c r="B1539" s="26"/>
      <c r="C1539" s="14" t="s">
        <v>1027</v>
      </c>
      <c r="D1539" s="15" t="n">
        <v>2</v>
      </c>
      <c r="E1539" s="27" t="n">
        <f aca="false">F1539/2</f>
        <v>50</v>
      </c>
      <c r="F1539" s="16" t="n">
        <v>100</v>
      </c>
      <c r="G1539" s="15" t="s">
        <v>36</v>
      </c>
      <c r="H1539" s="17" t="s">
        <v>25</v>
      </c>
      <c r="I1539" s="18" t="s">
        <v>26</v>
      </c>
      <c r="J1539" s="15" t="n">
        <v>2025</v>
      </c>
      <c r="K1539" s="19" t="s">
        <v>27</v>
      </c>
      <c r="L1539" s="15" t="s">
        <v>28</v>
      </c>
      <c r="M1539" s="15" t="s">
        <v>33</v>
      </c>
      <c r="N1539" s="17" t="s">
        <v>719</v>
      </c>
      <c r="O1539" s="15"/>
      <c r="P1539" s="15"/>
      <c r="Q1539" s="21"/>
      <c r="R1539" s="21"/>
      <c r="S1539" s="21"/>
      <c r="T1539" s="28"/>
      <c r="U1539" s="24"/>
    </row>
    <row r="1540" s="25" customFormat="true" ht="41.4" hidden="false" customHeight="false" outlineLevel="0" collapsed="false">
      <c r="A1540" s="36" t="s">
        <v>3396</v>
      </c>
      <c r="B1540" s="26"/>
      <c r="C1540" s="14" t="s">
        <v>1027</v>
      </c>
      <c r="D1540" s="15" t="n">
        <v>2</v>
      </c>
      <c r="E1540" s="27" t="n">
        <f aca="false">F1540/2</f>
        <v>50</v>
      </c>
      <c r="F1540" s="16" t="n">
        <v>100</v>
      </c>
      <c r="G1540" s="15" t="s">
        <v>36</v>
      </c>
      <c r="H1540" s="17" t="s">
        <v>25</v>
      </c>
      <c r="I1540" s="18" t="s">
        <v>26</v>
      </c>
      <c r="J1540" s="15" t="n">
        <v>2025</v>
      </c>
      <c r="K1540" s="19" t="s">
        <v>27</v>
      </c>
      <c r="L1540" s="15" t="s">
        <v>28</v>
      </c>
      <c r="M1540" s="15" t="s">
        <v>33</v>
      </c>
      <c r="N1540" s="17" t="s">
        <v>719</v>
      </c>
      <c r="O1540" s="15"/>
      <c r="P1540" s="15"/>
      <c r="Q1540" s="21"/>
      <c r="R1540" s="21"/>
      <c r="S1540" s="21"/>
      <c r="T1540" s="28"/>
      <c r="U1540" s="24"/>
    </row>
    <row r="1541" s="25" customFormat="true" ht="41.4" hidden="false" customHeight="false" outlineLevel="0" collapsed="false">
      <c r="A1541" s="36" t="s">
        <v>3397</v>
      </c>
      <c r="B1541" s="26" t="s">
        <v>3398</v>
      </c>
      <c r="C1541" s="14"/>
      <c r="D1541" s="15" t="n">
        <v>12</v>
      </c>
      <c r="E1541" s="27" t="n">
        <f aca="false">F1541/2</f>
        <v>4380</v>
      </c>
      <c r="F1541" s="16" t="n">
        <v>8760</v>
      </c>
      <c r="G1541" s="15" t="s">
        <v>36</v>
      </c>
      <c r="H1541" s="17" t="s">
        <v>25</v>
      </c>
      <c r="I1541" s="18" t="s">
        <v>26</v>
      </c>
      <c r="J1541" s="15" t="n">
        <v>2019</v>
      </c>
      <c r="K1541" s="19" t="s">
        <v>27</v>
      </c>
      <c r="L1541" s="15" t="s">
        <v>28</v>
      </c>
      <c r="M1541" s="15" t="s">
        <v>33</v>
      </c>
      <c r="N1541" s="20" t="s">
        <v>719</v>
      </c>
      <c r="O1541" s="15"/>
      <c r="P1541" s="15"/>
      <c r="Q1541" s="21" t="s">
        <v>78</v>
      </c>
      <c r="R1541" s="21"/>
      <c r="S1541" s="21"/>
      <c r="T1541" s="28"/>
      <c r="U1541" s="24"/>
    </row>
    <row r="1542" s="25" customFormat="true" ht="41.4" hidden="false" customHeight="false" outlineLevel="0" collapsed="false">
      <c r="A1542" s="36" t="s">
        <v>3399</v>
      </c>
      <c r="B1542" s="26"/>
      <c r="C1542" s="14" t="s">
        <v>1027</v>
      </c>
      <c r="D1542" s="15" t="n">
        <v>4</v>
      </c>
      <c r="E1542" s="27" t="n">
        <f aca="false">F1542/2</f>
        <v>50</v>
      </c>
      <c r="F1542" s="16" t="n">
        <v>100</v>
      </c>
      <c r="G1542" s="15" t="s">
        <v>36</v>
      </c>
      <c r="H1542" s="17" t="s">
        <v>25</v>
      </c>
      <c r="I1542" s="18" t="s">
        <v>26</v>
      </c>
      <c r="J1542" s="15" t="n">
        <v>2025</v>
      </c>
      <c r="K1542" s="19" t="s">
        <v>27</v>
      </c>
      <c r="L1542" s="15" t="s">
        <v>28</v>
      </c>
      <c r="M1542" s="15" t="s">
        <v>33</v>
      </c>
      <c r="N1542" s="17" t="s">
        <v>719</v>
      </c>
      <c r="O1542" s="15"/>
      <c r="P1542" s="15"/>
      <c r="Q1542" s="21"/>
      <c r="R1542" s="21"/>
      <c r="S1542" s="21"/>
      <c r="T1542" s="28"/>
      <c r="U1542" s="24"/>
    </row>
    <row r="1543" s="25" customFormat="true" ht="41.4" hidden="false" customHeight="false" outlineLevel="0" collapsed="false">
      <c r="A1543" s="36" t="s">
        <v>3400</v>
      </c>
      <c r="B1543" s="26" t="s">
        <v>3401</v>
      </c>
      <c r="C1543" s="14" t="s">
        <v>515</v>
      </c>
      <c r="D1543" s="15" t="n">
        <v>4</v>
      </c>
      <c r="E1543" s="27" t="n">
        <f aca="false">F1543/2</f>
        <v>10200</v>
      </c>
      <c r="F1543" s="16" t="n">
        <f aca="false">24000*0.85</f>
        <v>20400</v>
      </c>
      <c r="G1543" s="15" t="s">
        <v>24</v>
      </c>
      <c r="H1543" s="17" t="s">
        <v>25</v>
      </c>
      <c r="I1543" s="18" t="s">
        <v>26</v>
      </c>
      <c r="J1543" s="15" t="n">
        <v>2013</v>
      </c>
      <c r="K1543" s="19" t="s">
        <v>27</v>
      </c>
      <c r="L1543" s="15" t="s">
        <v>28</v>
      </c>
      <c r="M1543" s="15" t="s">
        <v>33</v>
      </c>
      <c r="N1543" s="17" t="s">
        <v>415</v>
      </c>
      <c r="O1543" s="15" t="s">
        <v>54</v>
      </c>
      <c r="P1543" s="15"/>
      <c r="Q1543" s="21" t="s">
        <v>55</v>
      </c>
      <c r="R1543" s="21"/>
      <c r="S1543" s="21"/>
      <c r="T1543" s="31" t="n">
        <v>45846</v>
      </c>
      <c r="U1543" s="24" t="s">
        <v>3402</v>
      </c>
    </row>
    <row r="1544" s="25" customFormat="true" ht="41.4" hidden="false" customHeight="false" outlineLevel="0" collapsed="false">
      <c r="A1544" s="36" t="s">
        <v>3403</v>
      </c>
      <c r="B1544" s="26" t="s">
        <v>3404</v>
      </c>
      <c r="C1544" s="14" t="s">
        <v>2102</v>
      </c>
      <c r="D1544" s="15" t="n">
        <v>4</v>
      </c>
      <c r="E1544" s="27" t="n">
        <f aca="false">F1544/2</f>
        <v>1650</v>
      </c>
      <c r="F1544" s="16" t="n">
        <v>3300</v>
      </c>
      <c r="G1544" s="15" t="s">
        <v>36</v>
      </c>
      <c r="H1544" s="17" t="s">
        <v>25</v>
      </c>
      <c r="I1544" s="18" t="s">
        <v>26</v>
      </c>
      <c r="J1544" s="15"/>
      <c r="K1544" s="19" t="s">
        <v>27</v>
      </c>
      <c r="L1544" s="15" t="s">
        <v>28</v>
      </c>
      <c r="M1544" s="15" t="s">
        <v>33</v>
      </c>
      <c r="N1544" s="17" t="s">
        <v>415</v>
      </c>
      <c r="O1544" s="15"/>
      <c r="P1544" s="15"/>
      <c r="Q1544" s="21" t="s">
        <v>419</v>
      </c>
      <c r="R1544" s="21"/>
      <c r="S1544" s="21"/>
      <c r="T1544" s="28"/>
      <c r="U1544" s="24"/>
    </row>
    <row r="1545" s="25" customFormat="true" ht="41.4" hidden="false" customHeight="false" outlineLevel="0" collapsed="false">
      <c r="A1545" s="36" t="s">
        <v>3405</v>
      </c>
      <c r="B1545" s="26"/>
      <c r="C1545" s="14" t="s">
        <v>1422</v>
      </c>
      <c r="D1545" s="15" t="n">
        <v>12</v>
      </c>
      <c r="E1545" s="27" t="n">
        <f aca="false">F1545/2</f>
        <v>1500</v>
      </c>
      <c r="F1545" s="16" t="n">
        <v>3000</v>
      </c>
      <c r="G1545" s="15" t="s">
        <v>36</v>
      </c>
      <c r="H1545" s="17" t="s">
        <v>25</v>
      </c>
      <c r="I1545" s="18" t="s">
        <v>26</v>
      </c>
      <c r="J1545" s="15" t="n">
        <v>2023</v>
      </c>
      <c r="K1545" s="19" t="s">
        <v>27</v>
      </c>
      <c r="L1545" s="15" t="s">
        <v>28</v>
      </c>
      <c r="M1545" s="15" t="s">
        <v>33</v>
      </c>
      <c r="N1545" s="17" t="s">
        <v>415</v>
      </c>
      <c r="O1545" s="15"/>
      <c r="P1545" s="15"/>
      <c r="Q1545" s="21"/>
      <c r="R1545" s="21"/>
      <c r="S1545" s="21"/>
      <c r="T1545" s="28"/>
      <c r="U1545" s="24"/>
    </row>
    <row r="1546" s="25" customFormat="true" ht="55.2" hidden="false" customHeight="false" outlineLevel="0" collapsed="false">
      <c r="A1546" s="36" t="s">
        <v>3406</v>
      </c>
      <c r="B1546" s="26" t="s">
        <v>3407</v>
      </c>
      <c r="C1546" s="14" t="s">
        <v>3408</v>
      </c>
      <c r="D1546" s="15" t="n">
        <v>6</v>
      </c>
      <c r="E1546" s="27" t="n">
        <f aca="false">F1546/2</f>
        <v>50</v>
      </c>
      <c r="F1546" s="16" t="n">
        <v>100</v>
      </c>
      <c r="G1546" s="15" t="s">
        <v>36</v>
      </c>
      <c r="H1546" s="17" t="s">
        <v>25</v>
      </c>
      <c r="I1546" s="18" t="s">
        <v>26</v>
      </c>
      <c r="J1546" s="17" t="n">
        <v>2020</v>
      </c>
      <c r="K1546" s="19" t="s">
        <v>27</v>
      </c>
      <c r="L1546" s="15" t="s">
        <v>28</v>
      </c>
      <c r="M1546" s="15" t="s">
        <v>33</v>
      </c>
      <c r="N1546" s="20" t="s">
        <v>415</v>
      </c>
      <c r="O1546" s="15"/>
      <c r="P1546" s="15"/>
      <c r="Q1546" s="21"/>
      <c r="R1546" s="21"/>
      <c r="S1546" s="21"/>
      <c r="T1546" s="28"/>
      <c r="U1546" s="34"/>
    </row>
    <row r="1547" s="25" customFormat="true" ht="91.2" hidden="false" customHeight="false" outlineLevel="0" collapsed="false">
      <c r="A1547" s="36" t="s">
        <v>3409</v>
      </c>
      <c r="B1547" s="26" t="s">
        <v>3410</v>
      </c>
      <c r="C1547" s="14" t="s">
        <v>3411</v>
      </c>
      <c r="D1547" s="15" t="n">
        <v>12</v>
      </c>
      <c r="E1547" s="27" t="n">
        <f aca="false">F1547/2</f>
        <v>15000</v>
      </c>
      <c r="F1547" s="16" t="n">
        <v>30000</v>
      </c>
      <c r="G1547" s="15" t="s">
        <v>24</v>
      </c>
      <c r="H1547" s="17" t="s">
        <v>25</v>
      </c>
      <c r="I1547" s="18" t="s">
        <v>26</v>
      </c>
      <c r="J1547" s="15" t="n">
        <v>2012</v>
      </c>
      <c r="K1547" s="19" t="s">
        <v>27</v>
      </c>
      <c r="L1547" s="15" t="s">
        <v>28</v>
      </c>
      <c r="M1547" s="15" t="s">
        <v>33</v>
      </c>
      <c r="N1547" s="17" t="s">
        <v>415</v>
      </c>
      <c r="O1547" s="15"/>
      <c r="P1547" s="15"/>
      <c r="Q1547" s="21" t="s">
        <v>419</v>
      </c>
      <c r="R1547" s="21"/>
      <c r="S1547" s="21"/>
      <c r="T1547" s="28"/>
      <c r="U1547" s="24" t="s">
        <v>3412</v>
      </c>
    </row>
    <row r="1548" s="25" customFormat="true" ht="114" hidden="false" customHeight="false" outlineLevel="0" collapsed="false">
      <c r="A1548" s="36" t="s">
        <v>415</v>
      </c>
      <c r="B1548" s="26" t="s">
        <v>3413</v>
      </c>
      <c r="C1548" s="14" t="s">
        <v>3414</v>
      </c>
      <c r="D1548" s="15" t="n">
        <v>12</v>
      </c>
      <c r="E1548" s="27" t="n">
        <f aca="false">F1548/2</f>
        <v>18900</v>
      </c>
      <c r="F1548" s="16" t="n">
        <f aca="false">31500*1.2</f>
        <v>37800</v>
      </c>
      <c r="G1548" s="15" t="s">
        <v>36</v>
      </c>
      <c r="H1548" s="17" t="s">
        <v>25</v>
      </c>
      <c r="I1548" s="18" t="s">
        <v>26</v>
      </c>
      <c r="J1548" s="15" t="n">
        <v>2023</v>
      </c>
      <c r="K1548" s="19" t="s">
        <v>27</v>
      </c>
      <c r="L1548" s="15" t="s">
        <v>28</v>
      </c>
      <c r="M1548" s="15" t="s">
        <v>33</v>
      </c>
      <c r="N1548" s="17" t="s">
        <v>415</v>
      </c>
      <c r="O1548" s="15" t="s">
        <v>46</v>
      </c>
      <c r="P1548" s="15"/>
      <c r="Q1548" s="21" t="s">
        <v>419</v>
      </c>
      <c r="R1548" s="21"/>
      <c r="S1548" s="21"/>
      <c r="T1548" s="28"/>
      <c r="U1548" s="24" t="s">
        <v>3415</v>
      </c>
    </row>
    <row r="1549" s="25" customFormat="true" ht="68.4" hidden="false" customHeight="false" outlineLevel="0" collapsed="false">
      <c r="A1549" s="36" t="s">
        <v>3416</v>
      </c>
      <c r="B1549" s="26" t="s">
        <v>3417</v>
      </c>
      <c r="C1549" s="14" t="s">
        <v>515</v>
      </c>
      <c r="D1549" s="15" t="n">
        <v>12</v>
      </c>
      <c r="E1549" s="27" t="n">
        <f aca="false">F1549/2</f>
        <v>64260</v>
      </c>
      <c r="F1549" s="16" t="n">
        <f aca="false">151200*0.85</f>
        <v>128520</v>
      </c>
      <c r="G1549" s="15" t="s">
        <v>24</v>
      </c>
      <c r="H1549" s="17" t="s">
        <v>25</v>
      </c>
      <c r="I1549" s="18" t="s">
        <v>26</v>
      </c>
      <c r="J1549" s="15" t="n">
        <v>2012</v>
      </c>
      <c r="K1549" s="19" t="s">
        <v>27</v>
      </c>
      <c r="L1549" s="15" t="s">
        <v>28</v>
      </c>
      <c r="M1549" s="15" t="s">
        <v>33</v>
      </c>
      <c r="N1549" s="17" t="s">
        <v>415</v>
      </c>
      <c r="O1549" s="15" t="s">
        <v>203</v>
      </c>
      <c r="P1549" s="15"/>
      <c r="Q1549" s="21" t="s">
        <v>419</v>
      </c>
      <c r="R1549" s="21"/>
      <c r="S1549" s="21"/>
      <c r="T1549" s="31" t="n">
        <v>45846</v>
      </c>
      <c r="U1549" s="24" t="s">
        <v>3418</v>
      </c>
    </row>
    <row r="1550" s="25" customFormat="true" ht="41.4" hidden="false" customHeight="false" outlineLevel="0" collapsed="false">
      <c r="A1550" s="36" t="s">
        <v>3419</v>
      </c>
      <c r="B1550" s="26"/>
      <c r="C1550" s="14" t="s">
        <v>414</v>
      </c>
      <c r="D1550" s="15" t="n">
        <v>4</v>
      </c>
      <c r="E1550" s="27" t="n">
        <f aca="false">F1550/2</f>
        <v>4000</v>
      </c>
      <c r="F1550" s="16" t="n">
        <v>8000</v>
      </c>
      <c r="G1550" s="15" t="s">
        <v>36</v>
      </c>
      <c r="H1550" s="17" t="s">
        <v>25</v>
      </c>
      <c r="I1550" s="18" t="s">
        <v>26</v>
      </c>
      <c r="J1550" s="15" t="n">
        <v>2025</v>
      </c>
      <c r="K1550" s="19" t="s">
        <v>27</v>
      </c>
      <c r="L1550" s="15" t="s">
        <v>28</v>
      </c>
      <c r="M1550" s="15" t="s">
        <v>33</v>
      </c>
      <c r="N1550" s="17" t="s">
        <v>415</v>
      </c>
      <c r="O1550" s="15"/>
      <c r="P1550" s="15"/>
      <c r="Q1550" s="21"/>
      <c r="R1550" s="21"/>
      <c r="S1550" s="21"/>
      <c r="T1550" s="28"/>
      <c r="U1550" s="24"/>
    </row>
    <row r="1551" s="25" customFormat="true" ht="41.4" hidden="false" customHeight="false" outlineLevel="0" collapsed="false">
      <c r="A1551" s="36" t="s">
        <v>3420</v>
      </c>
      <c r="B1551" s="26" t="s">
        <v>3421</v>
      </c>
      <c r="C1551" s="14" t="s">
        <v>179</v>
      </c>
      <c r="D1551" s="15" t="n">
        <v>6</v>
      </c>
      <c r="E1551" s="27" t="n">
        <f aca="false">F1551/2</f>
        <v>7200</v>
      </c>
      <c r="F1551" s="16" t="n">
        <f aca="false">12000*1.2</f>
        <v>14400</v>
      </c>
      <c r="G1551" s="15" t="s">
        <v>36</v>
      </c>
      <c r="H1551" s="17" t="s">
        <v>25</v>
      </c>
      <c r="I1551" s="18" t="s">
        <v>26</v>
      </c>
      <c r="J1551" s="15" t="n">
        <v>2018</v>
      </c>
      <c r="K1551" s="19" t="s">
        <v>27</v>
      </c>
      <c r="L1551" s="15" t="s">
        <v>28</v>
      </c>
      <c r="M1551" s="15" t="s">
        <v>33</v>
      </c>
      <c r="N1551" s="17" t="s">
        <v>415</v>
      </c>
      <c r="O1551" s="15" t="s">
        <v>203</v>
      </c>
      <c r="P1551" s="15"/>
      <c r="Q1551" s="21" t="s">
        <v>78</v>
      </c>
      <c r="R1551" s="21"/>
      <c r="S1551" s="21"/>
      <c r="T1551" s="28"/>
      <c r="U1551" s="34"/>
    </row>
    <row r="1552" s="25" customFormat="true" ht="41.4" hidden="false" customHeight="false" outlineLevel="0" collapsed="false">
      <c r="A1552" s="36" t="s">
        <v>3422</v>
      </c>
      <c r="B1552" s="26" t="s">
        <v>3423</v>
      </c>
      <c r="C1552" s="14" t="s">
        <v>524</v>
      </c>
      <c r="D1552" s="15" t="n">
        <v>4</v>
      </c>
      <c r="E1552" s="27" t="n">
        <f aca="false">6850*1.2</f>
        <v>8220</v>
      </c>
      <c r="F1552" s="16" t="n">
        <f aca="false">13600*1.2</f>
        <v>16320</v>
      </c>
      <c r="G1552" s="15" t="s">
        <v>36</v>
      </c>
      <c r="H1552" s="17" t="s">
        <v>25</v>
      </c>
      <c r="I1552" s="18" t="s">
        <v>26</v>
      </c>
      <c r="J1552" s="15" t="n">
        <v>2017</v>
      </c>
      <c r="K1552" s="19" t="s">
        <v>27</v>
      </c>
      <c r="L1552" s="15" t="s">
        <v>28</v>
      </c>
      <c r="M1552" s="15" t="s">
        <v>33</v>
      </c>
      <c r="N1552" s="17" t="s">
        <v>415</v>
      </c>
      <c r="O1552" s="15"/>
      <c r="P1552" s="15"/>
      <c r="Q1552" s="21" t="s">
        <v>78</v>
      </c>
      <c r="R1552" s="21"/>
      <c r="S1552" s="21"/>
      <c r="T1552" s="31" t="n">
        <v>45893</v>
      </c>
      <c r="U1552" s="24"/>
      <c r="V1552" s="37"/>
      <c r="W1552" s="37"/>
    </row>
    <row r="1553" s="25" customFormat="true" ht="41.4" hidden="false" customHeight="false" outlineLevel="0" collapsed="false">
      <c r="A1553" s="36" t="s">
        <v>3424</v>
      </c>
      <c r="B1553" s="26"/>
      <c r="C1553" s="14" t="s">
        <v>426</v>
      </c>
      <c r="D1553" s="15" t="n">
        <v>4</v>
      </c>
      <c r="E1553" s="27" t="n">
        <f aca="false">F1553/2</f>
        <v>50</v>
      </c>
      <c r="F1553" s="16" t="n">
        <v>100</v>
      </c>
      <c r="G1553" s="15" t="s">
        <v>36</v>
      </c>
      <c r="H1553" s="17" t="s">
        <v>25</v>
      </c>
      <c r="I1553" s="18" t="s">
        <v>26</v>
      </c>
      <c r="J1553" s="15" t="n">
        <v>2025</v>
      </c>
      <c r="K1553" s="19" t="s">
        <v>427</v>
      </c>
      <c r="L1553" s="15" t="s">
        <v>28</v>
      </c>
      <c r="M1553" s="15" t="s">
        <v>33</v>
      </c>
      <c r="N1553" s="17"/>
      <c r="O1553" s="15"/>
      <c r="P1553" s="15"/>
      <c r="Q1553" s="21" t="s">
        <v>78</v>
      </c>
      <c r="R1553" s="21"/>
      <c r="S1553" s="21"/>
      <c r="T1553" s="28"/>
      <c r="U1553" s="24"/>
    </row>
    <row r="1554" s="25" customFormat="true" ht="45.6" hidden="false" customHeight="false" outlineLevel="0" collapsed="false">
      <c r="A1554" s="36" t="s">
        <v>3425</v>
      </c>
      <c r="B1554" s="26" t="s">
        <v>3426</v>
      </c>
      <c r="C1554" s="14"/>
      <c r="D1554" s="15" t="n">
        <v>260</v>
      </c>
      <c r="E1554" s="27" t="n">
        <v>1050</v>
      </c>
      <c r="F1554" s="16" t="n">
        <v>2100</v>
      </c>
      <c r="G1554" s="15" t="s">
        <v>354</v>
      </c>
      <c r="H1554" s="17" t="s">
        <v>25</v>
      </c>
      <c r="I1554" s="18" t="s">
        <v>26</v>
      </c>
      <c r="J1554" s="15" t="n">
        <v>1999</v>
      </c>
      <c r="K1554" s="19" t="s">
        <v>3427</v>
      </c>
      <c r="L1554" s="15" t="s">
        <v>103</v>
      </c>
      <c r="M1554" s="15" t="s">
        <v>33</v>
      </c>
      <c r="N1554" s="17" t="s">
        <v>40</v>
      </c>
      <c r="O1554" s="15"/>
      <c r="P1554" s="15"/>
      <c r="Q1554" s="21" t="s">
        <v>41</v>
      </c>
      <c r="R1554" s="21"/>
      <c r="S1554" s="21"/>
      <c r="T1554" s="28"/>
      <c r="U1554" s="24" t="s">
        <v>3428</v>
      </c>
    </row>
    <row r="1555" s="25" customFormat="true" ht="41.4" hidden="false" customHeight="false" outlineLevel="0" collapsed="false">
      <c r="A1555" s="36" t="s">
        <v>3429</v>
      </c>
      <c r="B1555" s="26" t="s">
        <v>3430</v>
      </c>
      <c r="C1555" s="14" t="s">
        <v>148</v>
      </c>
      <c r="D1555" s="15" t="n">
        <v>4</v>
      </c>
      <c r="E1555" s="27" t="n">
        <f aca="false">F1555/2</f>
        <v>2090</v>
      </c>
      <c r="F1555" s="35" t="n">
        <f aca="false">FLOOR(3484*1.2,1)</f>
        <v>4180</v>
      </c>
      <c r="G1555" s="15" t="s">
        <v>36</v>
      </c>
      <c r="H1555" s="17" t="s">
        <v>25</v>
      </c>
      <c r="I1555" s="18" t="s">
        <v>26</v>
      </c>
      <c r="J1555" s="15" t="n">
        <v>2020</v>
      </c>
      <c r="K1555" s="19" t="s">
        <v>27</v>
      </c>
      <c r="L1555" s="15" t="s">
        <v>28</v>
      </c>
      <c r="M1555" s="15" t="s">
        <v>33</v>
      </c>
      <c r="N1555" s="17" t="s">
        <v>83</v>
      </c>
      <c r="O1555" s="15"/>
      <c r="P1555" s="15"/>
      <c r="Q1555" s="21"/>
      <c r="R1555" s="21"/>
      <c r="S1555" s="21"/>
      <c r="T1555" s="31" t="n">
        <v>45882</v>
      </c>
      <c r="U1555" s="34"/>
    </row>
    <row r="1556" s="25" customFormat="true" ht="41.4" hidden="false" customHeight="false" outlineLevel="0" collapsed="false">
      <c r="A1556" s="36" t="s">
        <v>3431</v>
      </c>
      <c r="B1556" s="26"/>
      <c r="C1556" s="14" t="s">
        <v>3432</v>
      </c>
      <c r="D1556" s="15" t="n">
        <v>12</v>
      </c>
      <c r="E1556" s="16" t="n">
        <f aca="false">F1556/2</f>
        <v>834.5</v>
      </c>
      <c r="F1556" s="16" t="n">
        <f aca="false">FLOOR(1560*1.07,1)</f>
        <v>1669</v>
      </c>
      <c r="G1556" s="15" t="s">
        <v>36</v>
      </c>
      <c r="H1556" s="17" t="s">
        <v>25</v>
      </c>
      <c r="I1556" s="18" t="s">
        <v>26</v>
      </c>
      <c r="J1556" s="15" t="n">
        <v>2025</v>
      </c>
      <c r="K1556" s="19" t="s">
        <v>27</v>
      </c>
      <c r="L1556" s="15" t="s">
        <v>28</v>
      </c>
      <c r="M1556" s="15" t="s">
        <v>33</v>
      </c>
      <c r="N1556" s="17"/>
      <c r="O1556" s="15"/>
      <c r="P1556" s="15"/>
      <c r="Q1556" s="21"/>
      <c r="R1556" s="21"/>
      <c r="S1556" s="21"/>
      <c r="T1556" s="28"/>
      <c r="U1556" s="24"/>
    </row>
    <row r="1557" s="25" customFormat="true" ht="41.4" hidden="false" customHeight="false" outlineLevel="0" collapsed="false">
      <c r="A1557" s="36" t="s">
        <v>3433</v>
      </c>
      <c r="B1557" s="26" t="s">
        <v>3434</v>
      </c>
      <c r="C1557" s="14" t="s">
        <v>157</v>
      </c>
      <c r="D1557" s="15" t="n">
        <v>4</v>
      </c>
      <c r="E1557" s="27" t="n">
        <f aca="false">F1557/2</f>
        <v>1050</v>
      </c>
      <c r="F1557" s="16" t="n">
        <v>2100</v>
      </c>
      <c r="G1557" s="15" t="s">
        <v>36</v>
      </c>
      <c r="H1557" s="17" t="s">
        <v>25</v>
      </c>
      <c r="I1557" s="18" t="s">
        <v>26</v>
      </c>
      <c r="J1557" s="15" t="n">
        <v>2017</v>
      </c>
      <c r="K1557" s="19" t="s">
        <v>27</v>
      </c>
      <c r="L1557" s="15" t="s">
        <v>28</v>
      </c>
      <c r="M1557" s="15" t="s">
        <v>33</v>
      </c>
      <c r="N1557" s="17"/>
      <c r="O1557" s="15"/>
      <c r="P1557" s="15"/>
      <c r="Q1557" s="21"/>
      <c r="R1557" s="21"/>
      <c r="S1557" s="21"/>
      <c r="T1557" s="28"/>
      <c r="U1557" s="24"/>
    </row>
    <row r="1558" s="25" customFormat="true" ht="41.4" hidden="false" customHeight="false" outlineLevel="0" collapsed="false">
      <c r="A1558" s="36" t="s">
        <v>3435</v>
      </c>
      <c r="B1558" s="26" t="s">
        <v>3436</v>
      </c>
      <c r="C1558" s="14" t="s">
        <v>3437</v>
      </c>
      <c r="D1558" s="15" t="n">
        <v>8</v>
      </c>
      <c r="E1558" s="27" t="n">
        <f aca="false">F1558/2</f>
        <v>5140</v>
      </c>
      <c r="F1558" s="16" t="n">
        <v>10280</v>
      </c>
      <c r="G1558" s="15" t="s">
        <v>36</v>
      </c>
      <c r="H1558" s="17" t="s">
        <v>25</v>
      </c>
      <c r="I1558" s="18" t="s">
        <v>26</v>
      </c>
      <c r="J1558" s="15" t="n">
        <v>2019</v>
      </c>
      <c r="K1558" s="19" t="s">
        <v>27</v>
      </c>
      <c r="L1558" s="15" t="s">
        <v>28</v>
      </c>
      <c r="M1558" s="15" t="s">
        <v>33</v>
      </c>
      <c r="N1558" s="17"/>
      <c r="O1558" s="15"/>
      <c r="P1558" s="15"/>
      <c r="Q1558" s="21"/>
      <c r="R1558" s="21"/>
      <c r="S1558" s="21"/>
      <c r="T1558" s="28"/>
      <c r="U1558" s="24"/>
    </row>
    <row r="1559" s="25" customFormat="true" ht="41.4" hidden="false" customHeight="false" outlineLevel="0" collapsed="false">
      <c r="A1559" s="36" t="s">
        <v>3438</v>
      </c>
      <c r="B1559" s="26"/>
      <c r="C1559" s="14" t="s">
        <v>1724</v>
      </c>
      <c r="D1559" s="15" t="n">
        <v>6</v>
      </c>
      <c r="E1559" s="16" t="n">
        <f aca="false">F1559/2</f>
        <v>1800</v>
      </c>
      <c r="F1559" s="16" t="n">
        <f aca="false">CEILING(3000*1.2,1)</f>
        <v>3600</v>
      </c>
      <c r="G1559" s="15" t="s">
        <v>36</v>
      </c>
      <c r="H1559" s="17" t="s">
        <v>25</v>
      </c>
      <c r="I1559" s="18" t="s">
        <v>26</v>
      </c>
      <c r="J1559" s="15" t="n">
        <v>2024</v>
      </c>
      <c r="K1559" s="19" t="s">
        <v>1725</v>
      </c>
      <c r="L1559" s="15" t="s">
        <v>28</v>
      </c>
      <c r="M1559" s="15" t="s">
        <v>33</v>
      </c>
      <c r="N1559" s="17"/>
      <c r="O1559" s="15"/>
      <c r="P1559" s="15"/>
      <c r="Q1559" s="21"/>
      <c r="R1559" s="21"/>
      <c r="S1559" s="21"/>
      <c r="T1559" s="28"/>
      <c r="U1559" s="24"/>
    </row>
    <row r="1560" s="25" customFormat="true" ht="41.4" hidden="false" customHeight="false" outlineLevel="0" collapsed="false">
      <c r="A1560" s="36" t="s">
        <v>3439</v>
      </c>
      <c r="B1560" s="26"/>
      <c r="C1560" s="14" t="s">
        <v>1276</v>
      </c>
      <c r="D1560" s="15" t="n">
        <v>4</v>
      </c>
      <c r="E1560" s="16" t="n">
        <f aca="false">F1560/2</f>
        <v>4571</v>
      </c>
      <c r="F1560" s="16" t="n">
        <v>9142</v>
      </c>
      <c r="G1560" s="15" t="s">
        <v>36</v>
      </c>
      <c r="H1560" s="17" t="s">
        <v>25</v>
      </c>
      <c r="I1560" s="18" t="s">
        <v>26</v>
      </c>
      <c r="J1560" s="15" t="n">
        <v>2024</v>
      </c>
      <c r="K1560" s="19" t="s">
        <v>27</v>
      </c>
      <c r="L1560" s="15" t="s">
        <v>28</v>
      </c>
      <c r="M1560" s="15" t="s">
        <v>33</v>
      </c>
      <c r="N1560" s="17"/>
      <c r="O1560" s="15"/>
      <c r="P1560" s="15"/>
      <c r="Q1560" s="21"/>
      <c r="R1560" s="21"/>
      <c r="S1560" s="21"/>
      <c r="T1560" s="28"/>
      <c r="U1560" s="34"/>
    </row>
    <row r="1561" s="25" customFormat="true" ht="45.6" hidden="false" customHeight="false" outlineLevel="0" collapsed="false">
      <c r="A1561" s="36" t="s">
        <v>3440</v>
      </c>
      <c r="B1561" s="26" t="s">
        <v>3441</v>
      </c>
      <c r="C1561" s="14" t="s">
        <v>188</v>
      </c>
      <c r="D1561" s="15" t="n">
        <v>12</v>
      </c>
      <c r="E1561" s="27" t="n">
        <f aca="false">F1561/2</f>
        <v>51480</v>
      </c>
      <c r="F1561" s="16" t="n">
        <f aca="false">85800*1.2</f>
        <v>102960</v>
      </c>
      <c r="G1561" s="15" t="s">
        <v>36</v>
      </c>
      <c r="H1561" s="17" t="s">
        <v>25</v>
      </c>
      <c r="I1561" s="18" t="s">
        <v>26</v>
      </c>
      <c r="J1561" s="15" t="n">
        <v>2021</v>
      </c>
      <c r="K1561" s="19" t="s">
        <v>27</v>
      </c>
      <c r="L1561" s="15" t="s">
        <v>28</v>
      </c>
      <c r="M1561" s="15" t="s">
        <v>33</v>
      </c>
      <c r="N1561" s="20"/>
      <c r="O1561" s="15"/>
      <c r="P1561" s="15"/>
      <c r="Q1561" s="21"/>
      <c r="R1561" s="21"/>
      <c r="S1561" s="21"/>
      <c r="T1561" s="28"/>
      <c r="U1561" s="24" t="s">
        <v>3442</v>
      </c>
    </row>
    <row r="1562" s="25" customFormat="true" ht="41.4" hidden="false" customHeight="false" outlineLevel="0" collapsed="false">
      <c r="A1562" s="36" t="s">
        <v>3443</v>
      </c>
      <c r="B1562" s="26" t="s">
        <v>3444</v>
      </c>
      <c r="C1562" s="14" t="s">
        <v>3445</v>
      </c>
      <c r="D1562" s="15" t="n">
        <v>6</v>
      </c>
      <c r="E1562" s="27" t="n">
        <f aca="false">F1562/2</f>
        <v>7020</v>
      </c>
      <c r="F1562" s="16" t="n">
        <f aca="false">11700*1.2</f>
        <v>14040</v>
      </c>
      <c r="G1562" s="15" t="s">
        <v>36</v>
      </c>
      <c r="H1562" s="17" t="s">
        <v>25</v>
      </c>
      <c r="I1562" s="18" t="s">
        <v>26</v>
      </c>
      <c r="J1562" s="15" t="n">
        <v>2020</v>
      </c>
      <c r="K1562" s="19" t="s">
        <v>27</v>
      </c>
      <c r="L1562" s="15" t="s">
        <v>28</v>
      </c>
      <c r="M1562" s="15" t="s">
        <v>33</v>
      </c>
      <c r="N1562" s="20" t="s">
        <v>87</v>
      </c>
      <c r="O1562" s="15"/>
      <c r="P1562" s="15"/>
      <c r="Q1562" s="21"/>
      <c r="R1562" s="21"/>
      <c r="S1562" s="21"/>
      <c r="T1562" s="28"/>
      <c r="U1562" s="34"/>
    </row>
    <row r="1563" s="25" customFormat="true" ht="41.4" hidden="false" customHeight="false" outlineLevel="0" collapsed="false">
      <c r="A1563" s="36" t="s">
        <v>3446</v>
      </c>
      <c r="B1563" s="26" t="s">
        <v>3447</v>
      </c>
      <c r="C1563" s="14" t="s">
        <v>1065</v>
      </c>
      <c r="D1563" s="15" t="n">
        <v>12</v>
      </c>
      <c r="E1563" s="27" t="n">
        <f aca="false">F1563/2</f>
        <v>60165</v>
      </c>
      <c r="F1563" s="16" t="n">
        <f aca="false">114600*1.05</f>
        <v>120330</v>
      </c>
      <c r="G1563" s="15" t="s">
        <v>36</v>
      </c>
      <c r="H1563" s="17" t="s">
        <v>25</v>
      </c>
      <c r="I1563" s="18" t="s">
        <v>26</v>
      </c>
      <c r="J1563" s="15" t="n">
        <v>2017</v>
      </c>
      <c r="K1563" s="19" t="s">
        <v>27</v>
      </c>
      <c r="L1563" s="15" t="s">
        <v>28</v>
      </c>
      <c r="M1563" s="15" t="s">
        <v>33</v>
      </c>
      <c r="N1563" s="20" t="s">
        <v>87</v>
      </c>
      <c r="O1563" s="15"/>
      <c r="P1563" s="15"/>
      <c r="Q1563" s="21" t="s">
        <v>78</v>
      </c>
      <c r="R1563" s="21"/>
      <c r="S1563" s="21"/>
      <c r="T1563" s="31" t="n">
        <v>45856</v>
      </c>
      <c r="U1563" s="24"/>
    </row>
    <row r="1564" s="25" customFormat="true" ht="41.4" hidden="false" customHeight="false" outlineLevel="0" collapsed="false">
      <c r="A1564" s="12" t="s">
        <v>3448</v>
      </c>
      <c r="B1564" s="26" t="s">
        <v>3449</v>
      </c>
      <c r="C1564" s="14" t="s">
        <v>246</v>
      </c>
      <c r="D1564" s="15" t="n">
        <v>12</v>
      </c>
      <c r="E1564" s="27" t="n">
        <f aca="false">F1564/2</f>
        <v>20512</v>
      </c>
      <c r="F1564" s="38" t="n">
        <v>41024</v>
      </c>
      <c r="G1564" s="15" t="s">
        <v>36</v>
      </c>
      <c r="H1564" s="17" t="s">
        <v>25</v>
      </c>
      <c r="I1564" s="18" t="s">
        <v>26</v>
      </c>
      <c r="J1564" s="15" t="n">
        <v>2017</v>
      </c>
      <c r="K1564" s="19" t="s">
        <v>27</v>
      </c>
      <c r="L1564" s="15" t="s">
        <v>28</v>
      </c>
      <c r="M1564" s="15" t="s">
        <v>33</v>
      </c>
      <c r="N1564" s="20" t="s">
        <v>153</v>
      </c>
      <c r="O1564" s="15"/>
      <c r="P1564" s="15"/>
      <c r="Q1564" s="21" t="s">
        <v>247</v>
      </c>
      <c r="R1564" s="21"/>
      <c r="S1564" s="21"/>
      <c r="T1564" s="31" t="n">
        <v>45882</v>
      </c>
      <c r="U1564" s="24" t="s">
        <v>248</v>
      </c>
    </row>
    <row r="1565" s="25" customFormat="true" ht="57" hidden="false" customHeight="false" outlineLevel="0" collapsed="false">
      <c r="A1565" s="12" t="s">
        <v>3450</v>
      </c>
      <c r="B1565" s="26" t="s">
        <v>85</v>
      </c>
      <c r="C1565" s="14" t="s">
        <v>86</v>
      </c>
      <c r="D1565" s="15" t="n">
        <v>6</v>
      </c>
      <c r="E1565" s="27" t="n">
        <f aca="false">F1565/2</f>
        <v>8424</v>
      </c>
      <c r="F1565" s="32" t="n">
        <v>16848</v>
      </c>
      <c r="G1565" s="15" t="s">
        <v>24</v>
      </c>
      <c r="H1565" s="17" t="s">
        <v>25</v>
      </c>
      <c r="I1565" s="18" t="s">
        <v>26</v>
      </c>
      <c r="J1565" s="15" t="n">
        <v>2006</v>
      </c>
      <c r="K1565" s="19" t="s">
        <v>59</v>
      </c>
      <c r="L1565" s="15" t="s">
        <v>28</v>
      </c>
      <c r="M1565" s="15" t="s">
        <v>33</v>
      </c>
      <c r="N1565" s="20" t="s">
        <v>87</v>
      </c>
      <c r="O1565" s="15"/>
      <c r="P1565" s="15"/>
      <c r="Q1565" s="21" t="s">
        <v>253</v>
      </c>
      <c r="R1565" s="21"/>
      <c r="S1565" s="21"/>
      <c r="T1565" s="31" t="n">
        <v>45882</v>
      </c>
      <c r="U1565" s="24" t="s">
        <v>3451</v>
      </c>
    </row>
    <row r="1566" s="25" customFormat="true" ht="41.4" hidden="false" customHeight="false" outlineLevel="0" collapsed="false">
      <c r="A1566" s="12" t="s">
        <v>3452</v>
      </c>
      <c r="B1566" s="26" t="s">
        <v>3453</v>
      </c>
      <c r="C1566" s="14" t="s">
        <v>3454</v>
      </c>
      <c r="D1566" s="15" t="n">
        <v>10</v>
      </c>
      <c r="E1566" s="27" t="n">
        <f aca="false">F1566/2</f>
        <v>12500</v>
      </c>
      <c r="F1566" s="16" t="n">
        <v>25000</v>
      </c>
      <c r="G1566" s="15" t="s">
        <v>36</v>
      </c>
      <c r="H1566" s="17" t="s">
        <v>25</v>
      </c>
      <c r="I1566" s="18" t="s">
        <v>26</v>
      </c>
      <c r="J1566" s="15" t="n">
        <v>2020</v>
      </c>
      <c r="K1566" s="19" t="s">
        <v>27</v>
      </c>
      <c r="L1566" s="15" t="s">
        <v>28</v>
      </c>
      <c r="M1566" s="15" t="s">
        <v>33</v>
      </c>
      <c r="N1566" s="20" t="s">
        <v>45</v>
      </c>
      <c r="O1566" s="15"/>
      <c r="P1566" s="15"/>
      <c r="Q1566" s="21"/>
      <c r="R1566" s="21"/>
      <c r="S1566" s="21"/>
      <c r="T1566" s="28"/>
      <c r="U1566" s="34"/>
    </row>
    <row r="1567" s="25" customFormat="true" ht="41.4" hidden="false" customHeight="false" outlineLevel="0" collapsed="false">
      <c r="A1567" s="12" t="s">
        <v>3455</v>
      </c>
      <c r="B1567" s="26" t="s">
        <v>3456</v>
      </c>
      <c r="C1567" s="14" t="s">
        <v>246</v>
      </c>
      <c r="D1567" s="15" t="n">
        <v>6</v>
      </c>
      <c r="E1567" s="27" t="n">
        <f aca="false">F1567/2</f>
        <v>11978.5</v>
      </c>
      <c r="F1567" s="38" t="n">
        <v>23957</v>
      </c>
      <c r="G1567" s="15" t="s">
        <v>36</v>
      </c>
      <c r="H1567" s="17" t="s">
        <v>25</v>
      </c>
      <c r="I1567" s="18" t="s">
        <v>26</v>
      </c>
      <c r="J1567" s="15" t="n">
        <v>2017</v>
      </c>
      <c r="K1567" s="19" t="s">
        <v>27</v>
      </c>
      <c r="L1567" s="15" t="s">
        <v>28</v>
      </c>
      <c r="M1567" s="15" t="s">
        <v>33</v>
      </c>
      <c r="N1567" s="20" t="s">
        <v>87</v>
      </c>
      <c r="O1567" s="15"/>
      <c r="P1567" s="15"/>
      <c r="Q1567" s="21" t="s">
        <v>247</v>
      </c>
      <c r="R1567" s="21"/>
      <c r="S1567" s="21"/>
      <c r="T1567" s="31" t="n">
        <v>45882</v>
      </c>
      <c r="U1567" s="24" t="s">
        <v>248</v>
      </c>
    </row>
    <row r="1568" s="25" customFormat="true" ht="41.4" hidden="false" customHeight="false" outlineLevel="0" collapsed="false">
      <c r="A1568" s="12" t="s">
        <v>3457</v>
      </c>
      <c r="B1568" s="26" t="s">
        <v>3458</v>
      </c>
      <c r="C1568" s="14" t="s">
        <v>3459</v>
      </c>
      <c r="D1568" s="15" t="n">
        <v>12</v>
      </c>
      <c r="E1568" s="27" t="n">
        <f aca="false">F1568/2</f>
        <v>648</v>
      </c>
      <c r="F1568" s="16" t="n">
        <v>1296</v>
      </c>
      <c r="G1568" s="15" t="s">
        <v>36</v>
      </c>
      <c r="H1568" s="17" t="s">
        <v>25</v>
      </c>
      <c r="I1568" s="18" t="s">
        <v>26</v>
      </c>
      <c r="J1568" s="15" t="n">
        <v>2020</v>
      </c>
      <c r="K1568" s="19" t="s">
        <v>27</v>
      </c>
      <c r="L1568" s="15" t="s">
        <v>28</v>
      </c>
      <c r="M1568" s="15" t="s">
        <v>33</v>
      </c>
      <c r="N1568" s="20" t="s">
        <v>87</v>
      </c>
      <c r="O1568" s="15"/>
      <c r="P1568" s="15"/>
      <c r="Q1568" s="21"/>
      <c r="R1568" s="21"/>
      <c r="S1568" s="21"/>
      <c r="T1568" s="28"/>
      <c r="U1568" s="34"/>
    </row>
    <row r="1569" s="25" customFormat="true" ht="41.4" hidden="false" customHeight="false" outlineLevel="0" collapsed="false">
      <c r="A1569" s="12" t="s">
        <v>3460</v>
      </c>
      <c r="B1569" s="26" t="s">
        <v>3461</v>
      </c>
      <c r="C1569" s="14" t="s">
        <v>1459</v>
      </c>
      <c r="D1569" s="15" t="n">
        <v>4</v>
      </c>
      <c r="E1569" s="27" t="n">
        <v>50</v>
      </c>
      <c r="F1569" s="16" t="n">
        <v>100</v>
      </c>
      <c r="G1569" s="15" t="s">
        <v>36</v>
      </c>
      <c r="H1569" s="17" t="s">
        <v>25</v>
      </c>
      <c r="I1569" s="18" t="s">
        <v>26</v>
      </c>
      <c r="J1569" s="15" t="n">
        <v>2023</v>
      </c>
      <c r="K1569" s="19" t="s">
        <v>1460</v>
      </c>
      <c r="L1569" s="15" t="s">
        <v>28</v>
      </c>
      <c r="M1569" s="15" t="s">
        <v>33</v>
      </c>
      <c r="N1569" s="20" t="s">
        <v>87</v>
      </c>
      <c r="O1569" s="15"/>
      <c r="P1569" s="15"/>
      <c r="Q1569" s="21"/>
      <c r="R1569" s="21"/>
      <c r="S1569" s="21"/>
      <c r="T1569" s="28"/>
      <c r="U1569" s="34"/>
    </row>
    <row r="1570" s="25" customFormat="true" ht="41.4" hidden="false" customHeight="false" outlineLevel="0" collapsed="false">
      <c r="A1570" s="12" t="s">
        <v>3462</v>
      </c>
      <c r="B1570" s="26" t="s">
        <v>3463</v>
      </c>
      <c r="C1570" s="14" t="s">
        <v>246</v>
      </c>
      <c r="D1570" s="15" t="n">
        <v>6</v>
      </c>
      <c r="E1570" s="27" t="n">
        <f aca="false">F1570/2</f>
        <v>11978.5</v>
      </c>
      <c r="F1570" s="38" t="n">
        <v>23957</v>
      </c>
      <c r="G1570" s="15" t="s">
        <v>36</v>
      </c>
      <c r="H1570" s="17" t="s">
        <v>25</v>
      </c>
      <c r="I1570" s="18" t="s">
        <v>26</v>
      </c>
      <c r="J1570" s="15" t="n">
        <v>2017</v>
      </c>
      <c r="K1570" s="19" t="s">
        <v>27</v>
      </c>
      <c r="L1570" s="15" t="s">
        <v>28</v>
      </c>
      <c r="M1570" s="15" t="s">
        <v>33</v>
      </c>
      <c r="N1570" s="20" t="s">
        <v>87</v>
      </c>
      <c r="O1570" s="15"/>
      <c r="P1570" s="15"/>
      <c r="Q1570" s="21" t="s">
        <v>247</v>
      </c>
      <c r="R1570" s="21"/>
      <c r="S1570" s="21"/>
      <c r="T1570" s="31" t="n">
        <v>45882</v>
      </c>
      <c r="U1570" s="24" t="s">
        <v>248</v>
      </c>
    </row>
    <row r="1571" s="25" customFormat="true" ht="41.4" hidden="false" customHeight="false" outlineLevel="0" collapsed="false">
      <c r="A1571" s="81" t="s">
        <v>3464</v>
      </c>
      <c r="B1571" s="26" t="s">
        <v>3465</v>
      </c>
      <c r="C1571" s="14" t="s">
        <v>264</v>
      </c>
      <c r="D1571" s="15" t="n">
        <v>6</v>
      </c>
      <c r="E1571" s="27" t="n">
        <f aca="false">F1571/2</f>
        <v>27035.1</v>
      </c>
      <c r="F1571" s="16" t="n">
        <f aca="false">58140*0.93</f>
        <v>54070.2</v>
      </c>
      <c r="G1571" s="15" t="s">
        <v>36</v>
      </c>
      <c r="H1571" s="17" t="s">
        <v>25</v>
      </c>
      <c r="I1571" s="18" t="s">
        <v>26</v>
      </c>
      <c r="J1571" s="15" t="n">
        <v>2024</v>
      </c>
      <c r="K1571" s="19" t="s">
        <v>27</v>
      </c>
      <c r="L1571" s="15" t="s">
        <v>28</v>
      </c>
      <c r="M1571" s="15" t="s">
        <v>33</v>
      </c>
      <c r="N1571" s="17" t="s">
        <v>83</v>
      </c>
      <c r="O1571" s="15"/>
      <c r="P1571" s="15"/>
      <c r="Q1571" s="21"/>
      <c r="R1571" s="21"/>
      <c r="S1571" s="21"/>
      <c r="T1571" s="31" t="n">
        <v>45880</v>
      </c>
      <c r="U1571" s="24"/>
    </row>
    <row r="1572" s="25" customFormat="true" ht="41.4" hidden="false" customHeight="false" outlineLevel="0" collapsed="false">
      <c r="A1572" s="12" t="s">
        <v>3466</v>
      </c>
      <c r="B1572" s="26" t="s">
        <v>3467</v>
      </c>
      <c r="C1572" s="14" t="s">
        <v>1324</v>
      </c>
      <c r="D1572" s="15" t="n">
        <v>4</v>
      </c>
      <c r="E1572" s="27" t="n">
        <f aca="false">F1572/2</f>
        <v>360</v>
      </c>
      <c r="F1572" s="16" t="n">
        <v>720</v>
      </c>
      <c r="G1572" s="15" t="s">
        <v>36</v>
      </c>
      <c r="H1572" s="17" t="s">
        <v>25</v>
      </c>
      <c r="I1572" s="18" t="s">
        <v>26</v>
      </c>
      <c r="J1572" s="15" t="n">
        <v>2014</v>
      </c>
      <c r="K1572" s="19" t="s">
        <v>1325</v>
      </c>
      <c r="L1572" s="15" t="s">
        <v>28</v>
      </c>
      <c r="M1572" s="15" t="s">
        <v>33</v>
      </c>
      <c r="N1572" s="17" t="s">
        <v>83</v>
      </c>
      <c r="O1572" s="15"/>
      <c r="P1572" s="15"/>
      <c r="Q1572" s="21" t="s">
        <v>302</v>
      </c>
      <c r="R1572" s="21"/>
      <c r="S1572" s="21"/>
      <c r="T1572" s="28"/>
      <c r="U1572" s="24"/>
    </row>
    <row r="1573" s="25" customFormat="true" ht="41.4" hidden="false" customHeight="false" outlineLevel="0" collapsed="false">
      <c r="A1573" s="12" t="s">
        <v>3468</v>
      </c>
      <c r="B1573" s="26"/>
      <c r="C1573" s="14" t="s">
        <v>81</v>
      </c>
      <c r="D1573" s="15" t="n">
        <v>4</v>
      </c>
      <c r="E1573" s="16" t="n">
        <f aca="false">F1573/2</f>
        <v>50</v>
      </c>
      <c r="F1573" s="16" t="n">
        <v>100</v>
      </c>
      <c r="G1573" s="15" t="s">
        <v>36</v>
      </c>
      <c r="H1573" s="17" t="s">
        <v>25</v>
      </c>
      <c r="I1573" s="18" t="s">
        <v>26</v>
      </c>
      <c r="J1573" s="15" t="n">
        <v>2024</v>
      </c>
      <c r="K1573" s="19" t="s">
        <v>27</v>
      </c>
      <c r="L1573" s="15" t="s">
        <v>82</v>
      </c>
      <c r="M1573" s="15" t="s">
        <v>33</v>
      </c>
      <c r="N1573" s="17" t="s">
        <v>83</v>
      </c>
      <c r="O1573" s="15"/>
      <c r="P1573" s="15"/>
      <c r="Q1573" s="21"/>
      <c r="R1573" s="21"/>
      <c r="S1573" s="21"/>
      <c r="T1573" s="28"/>
      <c r="U1573" s="24"/>
    </row>
    <row r="1574" s="25" customFormat="true" ht="41.4" hidden="false" customHeight="false" outlineLevel="0" collapsed="false">
      <c r="A1574" s="12" t="s">
        <v>3469</v>
      </c>
      <c r="B1574" s="26" t="s">
        <v>3470</v>
      </c>
      <c r="C1574" s="14" t="s">
        <v>148</v>
      </c>
      <c r="D1574" s="15" t="n">
        <v>12</v>
      </c>
      <c r="E1574" s="27" t="n">
        <f aca="false">F1574/2</f>
        <v>4586</v>
      </c>
      <c r="F1574" s="35" t="n">
        <f aca="false">FLOOR(7644*1.2,1)</f>
        <v>9172</v>
      </c>
      <c r="G1574" s="15" t="s">
        <v>36</v>
      </c>
      <c r="H1574" s="17" t="s">
        <v>25</v>
      </c>
      <c r="I1574" s="18" t="s">
        <v>26</v>
      </c>
      <c r="J1574" s="15" t="n">
        <v>2020</v>
      </c>
      <c r="K1574" s="19" t="s">
        <v>27</v>
      </c>
      <c r="L1574" s="15" t="s">
        <v>28</v>
      </c>
      <c r="M1574" s="15" t="s">
        <v>33</v>
      </c>
      <c r="N1574" s="17" t="s">
        <v>83</v>
      </c>
      <c r="O1574" s="15"/>
      <c r="P1574" s="15"/>
      <c r="Q1574" s="21"/>
      <c r="R1574" s="21"/>
      <c r="S1574" s="21"/>
      <c r="T1574" s="31" t="n">
        <v>45882</v>
      </c>
      <c r="U1574" s="24"/>
    </row>
    <row r="1575" s="25" customFormat="true" ht="41.4" hidden="false" customHeight="false" outlineLevel="0" collapsed="false">
      <c r="A1575" s="12" t="s">
        <v>3471</v>
      </c>
      <c r="B1575" s="26" t="s">
        <v>3472</v>
      </c>
      <c r="C1575" s="14" t="s">
        <v>3473</v>
      </c>
      <c r="D1575" s="15" t="n">
        <v>12</v>
      </c>
      <c r="E1575" s="27" t="n">
        <f aca="false">F1575/2</f>
        <v>9000</v>
      </c>
      <c r="F1575" s="16" t="n">
        <v>18000</v>
      </c>
      <c r="G1575" s="15" t="s">
        <v>36</v>
      </c>
      <c r="H1575" s="17" t="s">
        <v>25</v>
      </c>
      <c r="I1575" s="18" t="s">
        <v>26</v>
      </c>
      <c r="J1575" s="15" t="n">
        <v>2018</v>
      </c>
      <c r="K1575" s="19" t="s">
        <v>27</v>
      </c>
      <c r="L1575" s="15" t="s">
        <v>28</v>
      </c>
      <c r="M1575" s="15" t="s">
        <v>33</v>
      </c>
      <c r="N1575" s="17" t="s">
        <v>1068</v>
      </c>
      <c r="O1575" s="15" t="s">
        <v>2155</v>
      </c>
      <c r="P1575" s="15"/>
      <c r="Q1575" s="21" t="s">
        <v>78</v>
      </c>
      <c r="R1575" s="21"/>
      <c r="S1575" s="21"/>
      <c r="T1575" s="31" t="n">
        <v>45852</v>
      </c>
      <c r="U1575" s="24"/>
    </row>
    <row r="1576" s="25" customFormat="true" ht="41.4" hidden="false" customHeight="false" outlineLevel="0" collapsed="false">
      <c r="A1576" s="12" t="s">
        <v>3474</v>
      </c>
      <c r="B1576" s="26"/>
      <c r="C1576" s="14" t="s">
        <v>579</v>
      </c>
      <c r="D1576" s="15" t="n">
        <v>4</v>
      </c>
      <c r="E1576" s="27" t="n">
        <f aca="false">F1576/2</f>
        <v>4800</v>
      </c>
      <c r="F1576" s="16" t="n">
        <f aca="false">8000*1.2</f>
        <v>9600</v>
      </c>
      <c r="G1576" s="15" t="s">
        <v>36</v>
      </c>
      <c r="H1576" s="17" t="s">
        <v>25</v>
      </c>
      <c r="I1576" s="18" t="s">
        <v>26</v>
      </c>
      <c r="J1576" s="15" t="n">
        <v>2023</v>
      </c>
      <c r="K1576" s="19" t="s">
        <v>27</v>
      </c>
      <c r="L1576" s="15" t="s">
        <v>28</v>
      </c>
      <c r="M1576" s="15" t="s">
        <v>33</v>
      </c>
      <c r="N1576" s="17"/>
      <c r="O1576" s="15"/>
      <c r="P1576" s="15"/>
      <c r="Q1576" s="21"/>
      <c r="R1576" s="21"/>
      <c r="S1576" s="21"/>
      <c r="T1576" s="28"/>
      <c r="U1576" s="24"/>
    </row>
    <row r="1577" s="25" customFormat="true" ht="41.4" hidden="false" customHeight="false" outlineLevel="0" collapsed="false">
      <c r="A1577" s="36" t="s">
        <v>3475</v>
      </c>
      <c r="B1577" s="26" t="s">
        <v>3476</v>
      </c>
      <c r="C1577" s="14" t="s">
        <v>90</v>
      </c>
      <c r="D1577" s="15" t="n">
        <v>12</v>
      </c>
      <c r="E1577" s="27" t="n">
        <f aca="false">F1577/2</f>
        <v>22050</v>
      </c>
      <c r="F1577" s="16" t="n">
        <f aca="false">21000*2*1.05</f>
        <v>44100</v>
      </c>
      <c r="G1577" s="15" t="s">
        <v>36</v>
      </c>
      <c r="H1577" s="17" t="s">
        <v>25</v>
      </c>
      <c r="I1577" s="18" t="s">
        <v>26</v>
      </c>
      <c r="J1577" s="15" t="n">
        <v>2018</v>
      </c>
      <c r="K1577" s="19" t="s">
        <v>27</v>
      </c>
      <c r="L1577" s="15" t="s">
        <v>28</v>
      </c>
      <c r="M1577" s="15" t="s">
        <v>33</v>
      </c>
      <c r="N1577" s="17" t="s">
        <v>126</v>
      </c>
      <c r="O1577" s="15"/>
      <c r="P1577" s="15"/>
      <c r="Q1577" s="21" t="s">
        <v>78</v>
      </c>
      <c r="R1577" s="21"/>
      <c r="S1577" s="21"/>
      <c r="T1577" s="28"/>
      <c r="U1577" s="24"/>
    </row>
    <row r="1578" s="25" customFormat="true" ht="41.4" hidden="false" customHeight="false" outlineLevel="0" collapsed="false">
      <c r="A1578" s="36" t="s">
        <v>3477</v>
      </c>
      <c r="B1578" s="26"/>
      <c r="C1578" s="14" t="s">
        <v>1355</v>
      </c>
      <c r="D1578" s="15" t="n">
        <v>4</v>
      </c>
      <c r="E1578" s="27" t="n">
        <f aca="false">F1578/2</f>
        <v>3400</v>
      </c>
      <c r="F1578" s="16" t="n">
        <v>6800</v>
      </c>
      <c r="G1578" s="15" t="s">
        <v>36</v>
      </c>
      <c r="H1578" s="17" t="s">
        <v>25</v>
      </c>
      <c r="I1578" s="18" t="s">
        <v>26</v>
      </c>
      <c r="J1578" s="15" t="n">
        <v>2025</v>
      </c>
      <c r="K1578" s="19" t="s">
        <v>27</v>
      </c>
      <c r="L1578" s="15" t="s">
        <v>28</v>
      </c>
      <c r="M1578" s="15" t="s">
        <v>33</v>
      </c>
      <c r="N1578" s="17"/>
      <c r="O1578" s="15"/>
      <c r="P1578" s="15"/>
      <c r="Q1578" s="21"/>
      <c r="R1578" s="21"/>
      <c r="S1578" s="21"/>
      <c r="T1578" s="28"/>
      <c r="U1578" s="24"/>
    </row>
    <row r="1579" s="25" customFormat="true" ht="41.4" hidden="false" customHeight="false" outlineLevel="0" collapsed="false">
      <c r="A1579" s="36" t="s">
        <v>3478</v>
      </c>
      <c r="B1579" s="26"/>
      <c r="C1579" s="14" t="s">
        <v>3257</v>
      </c>
      <c r="D1579" s="15" t="n">
        <v>6</v>
      </c>
      <c r="E1579" s="27" t="n">
        <f aca="false">F1579/2</f>
        <v>4200</v>
      </c>
      <c r="F1579" s="16" t="n">
        <v>8400</v>
      </c>
      <c r="G1579" s="15" t="s">
        <v>36</v>
      </c>
      <c r="H1579" s="17" t="s">
        <v>25</v>
      </c>
      <c r="I1579" s="18" t="s">
        <v>26</v>
      </c>
      <c r="J1579" s="15" t="n">
        <v>2023</v>
      </c>
      <c r="K1579" s="19" t="s">
        <v>27</v>
      </c>
      <c r="L1579" s="15" t="s">
        <v>28</v>
      </c>
      <c r="M1579" s="15" t="s">
        <v>33</v>
      </c>
      <c r="N1579" s="17" t="s">
        <v>72</v>
      </c>
      <c r="O1579" s="15"/>
      <c r="P1579" s="15"/>
      <c r="Q1579" s="21"/>
      <c r="R1579" s="21"/>
      <c r="S1579" s="21"/>
      <c r="T1579" s="31" t="n">
        <v>45901</v>
      </c>
      <c r="U1579" s="24"/>
    </row>
    <row r="1580" s="25" customFormat="true" ht="41.4" hidden="false" customHeight="false" outlineLevel="0" collapsed="false">
      <c r="A1580" s="36" t="s">
        <v>3479</v>
      </c>
      <c r="B1580" s="26" t="s">
        <v>3480</v>
      </c>
      <c r="C1580" s="14" t="s">
        <v>246</v>
      </c>
      <c r="D1580" s="15" t="n">
        <v>6</v>
      </c>
      <c r="E1580" s="27" t="n">
        <f aca="false">F1580/2</f>
        <v>8648</v>
      </c>
      <c r="F1580" s="38" t="n">
        <v>17296</v>
      </c>
      <c r="G1580" s="15" t="s">
        <v>36</v>
      </c>
      <c r="H1580" s="17" t="s">
        <v>25</v>
      </c>
      <c r="I1580" s="18" t="s">
        <v>26</v>
      </c>
      <c r="J1580" s="15" t="n">
        <v>2017</v>
      </c>
      <c r="K1580" s="19" t="s">
        <v>27</v>
      </c>
      <c r="L1580" s="15" t="s">
        <v>28</v>
      </c>
      <c r="M1580" s="15" t="s">
        <v>33</v>
      </c>
      <c r="N1580" s="20" t="s">
        <v>83</v>
      </c>
      <c r="O1580" s="15"/>
      <c r="P1580" s="15"/>
      <c r="Q1580" s="21" t="s">
        <v>247</v>
      </c>
      <c r="R1580" s="21"/>
      <c r="S1580" s="21"/>
      <c r="T1580" s="31" t="n">
        <v>45882</v>
      </c>
      <c r="U1580" s="24" t="s">
        <v>248</v>
      </c>
    </row>
    <row r="1581" s="25" customFormat="true" ht="41.4" hidden="false" customHeight="false" outlineLevel="0" collapsed="false">
      <c r="A1581" s="36" t="s">
        <v>3481</v>
      </c>
      <c r="B1581" s="26" t="s">
        <v>3482</v>
      </c>
      <c r="C1581" s="14" t="s">
        <v>122</v>
      </c>
      <c r="D1581" s="15" t="n">
        <v>12</v>
      </c>
      <c r="E1581" s="27" t="n">
        <v>23628</v>
      </c>
      <c r="F1581" s="16" t="n">
        <v>39204</v>
      </c>
      <c r="G1581" s="15" t="s">
        <v>36</v>
      </c>
      <c r="H1581" s="17" t="s">
        <v>25</v>
      </c>
      <c r="I1581" s="18" t="s">
        <v>26</v>
      </c>
      <c r="J1581" s="15" t="n">
        <v>2022</v>
      </c>
      <c r="K1581" s="19" t="s">
        <v>27</v>
      </c>
      <c r="L1581" s="15" t="s">
        <v>28</v>
      </c>
      <c r="M1581" s="15" t="s">
        <v>33</v>
      </c>
      <c r="N1581" s="17" t="s">
        <v>96</v>
      </c>
      <c r="O1581" s="15"/>
      <c r="P1581" s="15"/>
      <c r="Q1581" s="21"/>
      <c r="R1581" s="21"/>
      <c r="S1581" s="21"/>
      <c r="T1581" s="28"/>
      <c r="U1581" s="24"/>
    </row>
    <row r="1582" s="25" customFormat="true" ht="41.4" hidden="false" customHeight="false" outlineLevel="0" collapsed="false">
      <c r="A1582" s="36" t="s">
        <v>3483</v>
      </c>
      <c r="B1582" s="26"/>
      <c r="C1582" s="14" t="s">
        <v>110</v>
      </c>
      <c r="D1582" s="15" t="n">
        <v>4</v>
      </c>
      <c r="E1582" s="16" t="n">
        <f aca="false">F1582/2</f>
        <v>50</v>
      </c>
      <c r="F1582" s="16" t="n">
        <v>100</v>
      </c>
      <c r="G1582" s="15" t="s">
        <v>36</v>
      </c>
      <c r="H1582" s="17" t="s">
        <v>25</v>
      </c>
      <c r="I1582" s="18" t="s">
        <v>26</v>
      </c>
      <c r="J1582" s="15" t="n">
        <v>2025</v>
      </c>
      <c r="K1582" s="19" t="s">
        <v>111</v>
      </c>
      <c r="L1582" s="15" t="s">
        <v>28</v>
      </c>
      <c r="M1582" s="15" t="s">
        <v>33</v>
      </c>
      <c r="N1582" s="17"/>
      <c r="O1582" s="15"/>
      <c r="P1582" s="15"/>
      <c r="Q1582" s="21"/>
      <c r="R1582" s="21"/>
      <c r="S1582" s="21" t="s">
        <v>113</v>
      </c>
      <c r="T1582" s="31" t="n">
        <v>45876</v>
      </c>
      <c r="U1582" s="24"/>
    </row>
    <row r="1583" s="25" customFormat="true" ht="41.4" hidden="false" customHeight="false" outlineLevel="0" collapsed="false">
      <c r="A1583" s="36" t="s">
        <v>3484</v>
      </c>
      <c r="B1583" s="26"/>
      <c r="C1583" s="14" t="s">
        <v>122</v>
      </c>
      <c r="D1583" s="15" t="n">
        <v>12</v>
      </c>
      <c r="E1583" s="27" t="n">
        <v>14190</v>
      </c>
      <c r="F1583" s="16" t="n">
        <v>28380</v>
      </c>
      <c r="G1583" s="15" t="s">
        <v>36</v>
      </c>
      <c r="H1583" s="17" t="s">
        <v>25</v>
      </c>
      <c r="I1583" s="18" t="s">
        <v>26</v>
      </c>
      <c r="J1583" s="15" t="n">
        <v>2025</v>
      </c>
      <c r="K1583" s="19" t="s">
        <v>27</v>
      </c>
      <c r="L1583" s="15" t="s">
        <v>28</v>
      </c>
      <c r="M1583" s="15" t="s">
        <v>33</v>
      </c>
      <c r="N1583" s="17"/>
      <c r="O1583" s="15"/>
      <c r="P1583" s="15"/>
      <c r="Q1583" s="21"/>
      <c r="R1583" s="21"/>
      <c r="S1583" s="21"/>
      <c r="T1583" s="28"/>
      <c r="U1583" s="24"/>
    </row>
    <row r="1584" s="25" customFormat="true" ht="41.4" hidden="false" customHeight="false" outlineLevel="0" collapsed="false">
      <c r="A1584" s="36" t="s">
        <v>3485</v>
      </c>
      <c r="B1584" s="26"/>
      <c r="C1584" s="14" t="s">
        <v>122</v>
      </c>
      <c r="D1584" s="15" t="n">
        <v>12</v>
      </c>
      <c r="E1584" s="27" t="n">
        <v>23628</v>
      </c>
      <c r="F1584" s="16" t="n">
        <v>39204</v>
      </c>
      <c r="G1584" s="15" t="s">
        <v>36</v>
      </c>
      <c r="H1584" s="17" t="s">
        <v>25</v>
      </c>
      <c r="I1584" s="18" t="s">
        <v>26</v>
      </c>
      <c r="J1584" s="15" t="n">
        <v>2022</v>
      </c>
      <c r="K1584" s="19" t="s">
        <v>27</v>
      </c>
      <c r="L1584" s="15" t="s">
        <v>28</v>
      </c>
      <c r="M1584" s="15" t="s">
        <v>33</v>
      </c>
      <c r="N1584" s="17" t="s">
        <v>96</v>
      </c>
      <c r="O1584" s="15"/>
      <c r="P1584" s="15"/>
      <c r="Q1584" s="21"/>
      <c r="R1584" s="21"/>
      <c r="S1584" s="21"/>
      <c r="T1584" s="28"/>
      <c r="U1584" s="24"/>
    </row>
    <row r="1585" s="25" customFormat="true" ht="41.4" hidden="false" customHeight="false" outlineLevel="0" collapsed="false">
      <c r="A1585" s="36" t="s">
        <v>3486</v>
      </c>
      <c r="B1585" s="26"/>
      <c r="C1585" s="14" t="s">
        <v>122</v>
      </c>
      <c r="D1585" s="15" t="n">
        <v>12</v>
      </c>
      <c r="E1585" s="27" t="n">
        <v>14190</v>
      </c>
      <c r="F1585" s="16" t="n">
        <v>28380</v>
      </c>
      <c r="G1585" s="15" t="s">
        <v>36</v>
      </c>
      <c r="H1585" s="17" t="s">
        <v>25</v>
      </c>
      <c r="I1585" s="18" t="s">
        <v>26</v>
      </c>
      <c r="J1585" s="15" t="n">
        <v>2025</v>
      </c>
      <c r="K1585" s="19" t="s">
        <v>27</v>
      </c>
      <c r="L1585" s="15" t="s">
        <v>28</v>
      </c>
      <c r="M1585" s="15" t="s">
        <v>33</v>
      </c>
      <c r="N1585" s="17"/>
      <c r="O1585" s="15"/>
      <c r="P1585" s="15"/>
      <c r="Q1585" s="21"/>
      <c r="R1585" s="21"/>
      <c r="S1585" s="21"/>
      <c r="T1585" s="28"/>
      <c r="U1585" s="24"/>
    </row>
    <row r="1586" s="25" customFormat="true" ht="41.4" hidden="false" customHeight="false" outlineLevel="0" collapsed="false">
      <c r="A1586" s="36" t="s">
        <v>3487</v>
      </c>
      <c r="B1586" s="26" t="s">
        <v>3488</v>
      </c>
      <c r="C1586" s="14" t="s">
        <v>246</v>
      </c>
      <c r="D1586" s="15" t="n">
        <v>6</v>
      </c>
      <c r="E1586" s="27" t="n">
        <f aca="false">F1586/2</f>
        <v>3330</v>
      </c>
      <c r="F1586" s="38" t="n">
        <v>6660</v>
      </c>
      <c r="G1586" s="15" t="s">
        <v>24</v>
      </c>
      <c r="H1586" s="17" t="s">
        <v>25</v>
      </c>
      <c r="I1586" s="18" t="s">
        <v>26</v>
      </c>
      <c r="J1586" s="15" t="n">
        <v>2000</v>
      </c>
      <c r="K1586" s="19" t="s">
        <v>27</v>
      </c>
      <c r="L1586" s="15" t="s">
        <v>28</v>
      </c>
      <c r="M1586" s="15" t="s">
        <v>33</v>
      </c>
      <c r="N1586" s="17"/>
      <c r="O1586" s="15"/>
      <c r="P1586" s="15"/>
      <c r="Q1586" s="21" t="s">
        <v>280</v>
      </c>
      <c r="R1586" s="21"/>
      <c r="S1586" s="21"/>
      <c r="T1586" s="31" t="n">
        <v>45882</v>
      </c>
      <c r="U1586" s="24" t="s">
        <v>3489</v>
      </c>
    </row>
    <row r="1587" s="25" customFormat="true" ht="41.4" hidden="false" customHeight="false" outlineLevel="0" collapsed="false">
      <c r="A1587" s="36" t="s">
        <v>3490</v>
      </c>
      <c r="B1587" s="26" t="s">
        <v>3491</v>
      </c>
      <c r="C1587" s="14" t="s">
        <v>197</v>
      </c>
      <c r="D1587" s="15" t="n">
        <v>4</v>
      </c>
      <c r="E1587" s="27" t="n">
        <f aca="false">F1587/2</f>
        <v>625</v>
      </c>
      <c r="F1587" s="16" t="n">
        <v>1250</v>
      </c>
      <c r="G1587" s="15" t="s">
        <v>36</v>
      </c>
      <c r="H1587" s="17" t="s">
        <v>25</v>
      </c>
      <c r="I1587" s="18" t="s">
        <v>26</v>
      </c>
      <c r="J1587" s="15" t="n">
        <v>2020</v>
      </c>
      <c r="K1587" s="19" t="s">
        <v>27</v>
      </c>
      <c r="L1587" s="15" t="s">
        <v>28</v>
      </c>
      <c r="M1587" s="15" t="s">
        <v>33</v>
      </c>
      <c r="N1587" s="20"/>
      <c r="O1587" s="15"/>
      <c r="P1587" s="15"/>
      <c r="Q1587" s="21"/>
      <c r="R1587" s="21"/>
      <c r="S1587" s="21"/>
      <c r="T1587" s="28"/>
      <c r="U1587" s="24"/>
    </row>
    <row r="1588" s="25" customFormat="true" ht="41.4" hidden="false" customHeight="false" outlineLevel="0" collapsed="false">
      <c r="A1588" s="36" t="s">
        <v>3492</v>
      </c>
      <c r="B1588" s="26"/>
      <c r="C1588" s="14" t="s">
        <v>3493</v>
      </c>
      <c r="D1588" s="15" t="n">
        <v>12</v>
      </c>
      <c r="E1588" s="27" t="n">
        <f aca="false">F1588/2</f>
        <v>36000</v>
      </c>
      <c r="F1588" s="16" t="n">
        <v>72000</v>
      </c>
      <c r="G1588" s="15" t="s">
        <v>36</v>
      </c>
      <c r="H1588" s="17" t="s">
        <v>25</v>
      </c>
      <c r="I1588" s="18" t="s">
        <v>26</v>
      </c>
      <c r="J1588" s="15" t="n">
        <v>2023</v>
      </c>
      <c r="K1588" s="19" t="s">
        <v>27</v>
      </c>
      <c r="L1588" s="15" t="s">
        <v>28</v>
      </c>
      <c r="M1588" s="15" t="s">
        <v>33</v>
      </c>
      <c r="N1588" s="17" t="s">
        <v>126</v>
      </c>
      <c r="O1588" s="15"/>
      <c r="P1588" s="15"/>
      <c r="Q1588" s="21"/>
      <c r="R1588" s="21"/>
      <c r="S1588" s="21"/>
      <c r="T1588" s="28"/>
      <c r="U1588" s="24"/>
    </row>
    <row r="1589" s="25" customFormat="true" ht="41.4" hidden="false" customHeight="false" outlineLevel="0" collapsed="false">
      <c r="A1589" s="36" t="s">
        <v>3494</v>
      </c>
      <c r="B1589" s="26"/>
      <c r="C1589" s="14" t="s">
        <v>3495</v>
      </c>
      <c r="D1589" s="15" t="n">
        <v>4</v>
      </c>
      <c r="E1589" s="27" t="n">
        <f aca="false">F1589/2</f>
        <v>8112</v>
      </c>
      <c r="F1589" s="16" t="n">
        <f aca="false">13520*1.2</f>
        <v>16224</v>
      </c>
      <c r="G1589" s="15" t="s">
        <v>36</v>
      </c>
      <c r="H1589" s="17" t="s">
        <v>25</v>
      </c>
      <c r="I1589" s="18" t="s">
        <v>26</v>
      </c>
      <c r="J1589" s="15" t="n">
        <v>2024</v>
      </c>
      <c r="K1589" s="19" t="s">
        <v>27</v>
      </c>
      <c r="L1589" s="15" t="s">
        <v>28</v>
      </c>
      <c r="M1589" s="15" t="s">
        <v>33</v>
      </c>
      <c r="N1589" s="17" t="s">
        <v>72</v>
      </c>
      <c r="O1589" s="15"/>
      <c r="P1589" s="15"/>
      <c r="Q1589" s="21"/>
      <c r="R1589" s="21"/>
      <c r="S1589" s="21"/>
      <c r="T1589" s="28"/>
      <c r="U1589" s="24"/>
    </row>
    <row r="1590" s="25" customFormat="true" ht="41.4" hidden="false" customHeight="false" outlineLevel="0" collapsed="false">
      <c r="A1590" s="36" t="s">
        <v>3496</v>
      </c>
      <c r="B1590" s="26" t="s">
        <v>3497</v>
      </c>
      <c r="C1590" s="14" t="s">
        <v>90</v>
      </c>
      <c r="D1590" s="15" t="n">
        <v>12</v>
      </c>
      <c r="E1590" s="27" t="n">
        <f aca="false">F1590/2</f>
        <v>22050</v>
      </c>
      <c r="F1590" s="16" t="n">
        <f aca="false">21000*2*1.05</f>
        <v>44100</v>
      </c>
      <c r="G1590" s="15" t="s">
        <v>36</v>
      </c>
      <c r="H1590" s="17" t="s">
        <v>25</v>
      </c>
      <c r="I1590" s="18" t="s">
        <v>26</v>
      </c>
      <c r="J1590" s="15" t="n">
        <v>2018</v>
      </c>
      <c r="K1590" s="19" t="s">
        <v>27</v>
      </c>
      <c r="L1590" s="15" t="s">
        <v>28</v>
      </c>
      <c r="M1590" s="15" t="s">
        <v>33</v>
      </c>
      <c r="N1590" s="17" t="s">
        <v>126</v>
      </c>
      <c r="O1590" s="15"/>
      <c r="P1590" s="15"/>
      <c r="Q1590" s="21" t="s">
        <v>78</v>
      </c>
      <c r="R1590" s="21"/>
      <c r="S1590" s="21"/>
      <c r="T1590" s="28"/>
      <c r="U1590" s="24"/>
    </row>
    <row r="1591" s="25" customFormat="true" ht="57" hidden="false" customHeight="false" outlineLevel="0" collapsed="false">
      <c r="A1591" s="36" t="s">
        <v>3498</v>
      </c>
      <c r="B1591" s="26" t="s">
        <v>3499</v>
      </c>
      <c r="C1591" s="14"/>
      <c r="D1591" s="15" t="s">
        <v>1309</v>
      </c>
      <c r="E1591" s="27" t="n">
        <f aca="false">F1591/2</f>
        <v>750</v>
      </c>
      <c r="F1591" s="52" t="n">
        <v>1500</v>
      </c>
      <c r="G1591" s="15" t="s">
        <v>354</v>
      </c>
      <c r="H1591" s="17" t="s">
        <v>25</v>
      </c>
      <c r="I1591" s="18" t="s">
        <v>26</v>
      </c>
      <c r="J1591" s="15" t="n">
        <v>2002</v>
      </c>
      <c r="K1591" s="19" t="s">
        <v>27</v>
      </c>
      <c r="L1591" s="15" t="s">
        <v>28</v>
      </c>
      <c r="M1591" s="15" t="s">
        <v>33</v>
      </c>
      <c r="N1591" s="20"/>
      <c r="O1591" s="15"/>
      <c r="P1591" s="15"/>
      <c r="Q1591" s="21" t="s">
        <v>280</v>
      </c>
      <c r="R1591" s="21"/>
      <c r="S1591" s="21"/>
      <c r="T1591" s="28"/>
      <c r="U1591" s="24" t="s">
        <v>3500</v>
      </c>
    </row>
    <row r="1592" s="25" customFormat="true" ht="41.4" hidden="false" customHeight="false" outlineLevel="0" collapsed="false">
      <c r="A1592" s="36" t="s">
        <v>3501</v>
      </c>
      <c r="B1592" s="26" t="s">
        <v>3502</v>
      </c>
      <c r="C1592" s="14" t="s">
        <v>3503</v>
      </c>
      <c r="D1592" s="15" t="n">
        <v>12</v>
      </c>
      <c r="E1592" s="27" t="n">
        <v>810</v>
      </c>
      <c r="F1592" s="16" t="n">
        <v>1620</v>
      </c>
      <c r="G1592" s="15" t="s">
        <v>24</v>
      </c>
      <c r="H1592" s="17" t="s">
        <v>25</v>
      </c>
      <c r="I1592" s="18" t="s">
        <v>26</v>
      </c>
      <c r="J1592" s="15" t="n">
        <v>2014</v>
      </c>
      <c r="K1592" s="19" t="s">
        <v>27</v>
      </c>
      <c r="L1592" s="15" t="s">
        <v>28</v>
      </c>
      <c r="M1592" s="15" t="s">
        <v>33</v>
      </c>
      <c r="N1592" s="20" t="s">
        <v>214</v>
      </c>
      <c r="O1592" s="15"/>
      <c r="P1592" s="15"/>
      <c r="Q1592" s="21" t="s">
        <v>215</v>
      </c>
      <c r="R1592" s="21"/>
      <c r="S1592" s="21"/>
      <c r="T1592" s="28"/>
      <c r="U1592" s="24"/>
      <c r="V1592" s="37"/>
      <c r="W1592" s="37"/>
    </row>
    <row r="1593" s="25" customFormat="true" ht="41.4" hidden="false" customHeight="false" outlineLevel="0" collapsed="false">
      <c r="A1593" s="36" t="s">
        <v>3504</v>
      </c>
      <c r="B1593" s="26" t="s">
        <v>3505</v>
      </c>
      <c r="C1593" s="14" t="s">
        <v>475</v>
      </c>
      <c r="D1593" s="15" t="n">
        <v>6</v>
      </c>
      <c r="E1593" s="27" t="n">
        <f aca="false">F1593/2</f>
        <v>26280</v>
      </c>
      <c r="F1593" s="16" t="n">
        <f aca="false">21900*2*1.2</f>
        <v>52560</v>
      </c>
      <c r="G1593" s="15" t="s">
        <v>36</v>
      </c>
      <c r="H1593" s="17" t="s">
        <v>25</v>
      </c>
      <c r="I1593" s="18" t="s">
        <v>26</v>
      </c>
      <c r="J1593" s="15" t="n">
        <v>2019</v>
      </c>
      <c r="K1593" s="19" t="s">
        <v>27</v>
      </c>
      <c r="L1593" s="15" t="s">
        <v>28</v>
      </c>
      <c r="M1593" s="15" t="s">
        <v>33</v>
      </c>
      <c r="N1593" s="17" t="s">
        <v>45</v>
      </c>
      <c r="O1593" s="15" t="s">
        <v>54</v>
      </c>
      <c r="P1593" s="15"/>
      <c r="Q1593" s="21" t="s">
        <v>476</v>
      </c>
      <c r="R1593" s="21"/>
      <c r="S1593" s="21"/>
      <c r="T1593" s="31" t="n">
        <v>45846</v>
      </c>
      <c r="U1593" s="24"/>
    </row>
    <row r="1594" s="25" customFormat="true" ht="41.4" hidden="false" customHeight="false" outlineLevel="0" collapsed="false">
      <c r="A1594" s="36" t="s">
        <v>3506</v>
      </c>
      <c r="B1594" s="26" t="s">
        <v>3507</v>
      </c>
      <c r="C1594" s="14" t="s">
        <v>3508</v>
      </c>
      <c r="D1594" s="15" t="n">
        <v>12</v>
      </c>
      <c r="E1594" s="27" t="n">
        <v>1410</v>
      </c>
      <c r="F1594" s="16" t="n">
        <v>2820</v>
      </c>
      <c r="G1594" s="15" t="s">
        <v>24</v>
      </c>
      <c r="H1594" s="17" t="s">
        <v>25</v>
      </c>
      <c r="I1594" s="18" t="s">
        <v>26</v>
      </c>
      <c r="J1594" s="15" t="n">
        <v>2014</v>
      </c>
      <c r="K1594" s="19" t="s">
        <v>27</v>
      </c>
      <c r="L1594" s="15" t="s">
        <v>28</v>
      </c>
      <c r="M1594" s="15" t="s">
        <v>33</v>
      </c>
      <c r="N1594" s="17" t="s">
        <v>454</v>
      </c>
      <c r="O1594" s="15"/>
      <c r="P1594" s="15"/>
      <c r="Q1594" s="21" t="s">
        <v>78</v>
      </c>
      <c r="R1594" s="21"/>
      <c r="S1594" s="21"/>
      <c r="T1594" s="28"/>
      <c r="U1594" s="24"/>
    </row>
    <row r="1595" s="25" customFormat="true" ht="41.4" hidden="false" customHeight="false" outlineLevel="0" collapsed="false">
      <c r="A1595" s="36" t="s">
        <v>3509</v>
      </c>
      <c r="B1595" s="26" t="s">
        <v>3510</v>
      </c>
      <c r="C1595" s="14" t="s">
        <v>1051</v>
      </c>
      <c r="D1595" s="15" t="n">
        <v>6</v>
      </c>
      <c r="E1595" s="27" t="n">
        <f aca="false">F1595/2</f>
        <v>5580</v>
      </c>
      <c r="F1595" s="16" t="n">
        <f aca="false">9300*1.2</f>
        <v>11160</v>
      </c>
      <c r="G1595" s="15" t="s">
        <v>24</v>
      </c>
      <c r="H1595" s="17" t="s">
        <v>25</v>
      </c>
      <c r="I1595" s="18" t="s">
        <v>26</v>
      </c>
      <c r="J1595" s="15" t="n">
        <v>2012</v>
      </c>
      <c r="K1595" s="19" t="s">
        <v>27</v>
      </c>
      <c r="L1595" s="15" t="s">
        <v>28</v>
      </c>
      <c r="M1595" s="15" t="s">
        <v>33</v>
      </c>
      <c r="N1595" s="17" t="s">
        <v>45</v>
      </c>
      <c r="O1595" s="15" t="s">
        <v>46</v>
      </c>
      <c r="P1595" s="15"/>
      <c r="Q1595" s="21" t="s">
        <v>862</v>
      </c>
      <c r="R1595" s="21"/>
      <c r="S1595" s="21"/>
      <c r="T1595" s="31" t="n">
        <v>45856</v>
      </c>
      <c r="U1595" s="24" t="s">
        <v>3511</v>
      </c>
    </row>
    <row r="1596" s="25" customFormat="true" ht="41.4" hidden="false" customHeight="false" outlineLevel="0" collapsed="false">
      <c r="A1596" s="36" t="s">
        <v>3512</v>
      </c>
      <c r="B1596" s="26" t="s">
        <v>3513</v>
      </c>
      <c r="C1596" s="14"/>
      <c r="D1596" s="15" t="n">
        <v>52</v>
      </c>
      <c r="E1596" s="27" t="n">
        <v>1050</v>
      </c>
      <c r="F1596" s="16" t="n">
        <v>2100</v>
      </c>
      <c r="G1596" s="15" t="s">
        <v>354</v>
      </c>
      <c r="H1596" s="17" t="s">
        <v>25</v>
      </c>
      <c r="I1596" s="18" t="s">
        <v>26</v>
      </c>
      <c r="J1596" s="15" t="n">
        <v>2004</v>
      </c>
      <c r="K1596" s="19" t="s">
        <v>27</v>
      </c>
      <c r="L1596" s="15" t="s">
        <v>103</v>
      </c>
      <c r="M1596" s="15" t="s">
        <v>33</v>
      </c>
      <c r="N1596" s="17"/>
      <c r="O1596" s="15"/>
      <c r="P1596" s="15"/>
      <c r="Q1596" s="21" t="s">
        <v>41</v>
      </c>
      <c r="R1596" s="21"/>
      <c r="S1596" s="21"/>
      <c r="T1596" s="28"/>
      <c r="U1596" s="24" t="s">
        <v>3514</v>
      </c>
      <c r="V1596" s="37"/>
      <c r="W1596" s="37"/>
    </row>
    <row r="1597" s="25" customFormat="true" ht="41.4" hidden="false" customHeight="false" outlineLevel="0" collapsed="false">
      <c r="A1597" s="36" t="s">
        <v>3515</v>
      </c>
      <c r="B1597" s="26" t="s">
        <v>3516</v>
      </c>
      <c r="C1597" s="14" t="s">
        <v>3517</v>
      </c>
      <c r="D1597" s="15" t="n">
        <v>6</v>
      </c>
      <c r="E1597" s="27" t="n">
        <f aca="false">F1597/2</f>
        <v>4800</v>
      </c>
      <c r="F1597" s="16" t="n">
        <f aca="false">9600</f>
        <v>9600</v>
      </c>
      <c r="G1597" s="15" t="s">
        <v>24</v>
      </c>
      <c r="H1597" s="17" t="s">
        <v>25</v>
      </c>
      <c r="I1597" s="18" t="s">
        <v>26</v>
      </c>
      <c r="J1597" s="15" t="n">
        <v>2007</v>
      </c>
      <c r="K1597" s="19" t="s">
        <v>59</v>
      </c>
      <c r="L1597" s="15" t="s">
        <v>28</v>
      </c>
      <c r="M1597" s="15" t="s">
        <v>33</v>
      </c>
      <c r="N1597" s="17" t="s">
        <v>53</v>
      </c>
      <c r="O1597" s="15" t="s">
        <v>203</v>
      </c>
      <c r="P1597" s="15"/>
      <c r="Q1597" s="21" t="s">
        <v>47</v>
      </c>
      <c r="R1597" s="21"/>
      <c r="S1597" s="21"/>
      <c r="T1597" s="31" t="n">
        <v>45846</v>
      </c>
      <c r="U1597" s="24" t="s">
        <v>3518</v>
      </c>
    </row>
    <row r="1598" s="25" customFormat="true" ht="41.4" hidden="false" customHeight="false" outlineLevel="0" collapsed="false">
      <c r="A1598" s="36" t="s">
        <v>3519</v>
      </c>
      <c r="B1598" s="26"/>
      <c r="C1598" s="14" t="s">
        <v>122</v>
      </c>
      <c r="D1598" s="15" t="n">
        <v>12</v>
      </c>
      <c r="E1598" s="27" t="n">
        <v>14190</v>
      </c>
      <c r="F1598" s="16" t="n">
        <v>28380</v>
      </c>
      <c r="G1598" s="15" t="s">
        <v>36</v>
      </c>
      <c r="H1598" s="17" t="s">
        <v>25</v>
      </c>
      <c r="I1598" s="18" t="s">
        <v>26</v>
      </c>
      <c r="J1598" s="15" t="n">
        <v>2025</v>
      </c>
      <c r="K1598" s="19" t="s">
        <v>27</v>
      </c>
      <c r="L1598" s="15" t="s">
        <v>28</v>
      </c>
      <c r="M1598" s="15" t="s">
        <v>33</v>
      </c>
      <c r="N1598" s="17"/>
      <c r="O1598" s="15"/>
      <c r="P1598" s="15"/>
      <c r="Q1598" s="21"/>
      <c r="R1598" s="21"/>
      <c r="S1598" s="21"/>
      <c r="T1598" s="28"/>
      <c r="U1598" s="24"/>
    </row>
    <row r="1599" s="25" customFormat="true" ht="41.4" hidden="false" customHeight="false" outlineLevel="0" collapsed="false">
      <c r="A1599" s="36" t="s">
        <v>3520</v>
      </c>
      <c r="B1599" s="26" t="s">
        <v>3521</v>
      </c>
      <c r="C1599" s="14" t="s">
        <v>122</v>
      </c>
      <c r="D1599" s="15" t="n">
        <v>12</v>
      </c>
      <c r="E1599" s="27" t="n">
        <v>23628</v>
      </c>
      <c r="F1599" s="16" t="n">
        <v>39204</v>
      </c>
      <c r="G1599" s="15" t="s">
        <v>36</v>
      </c>
      <c r="H1599" s="17" t="s">
        <v>25</v>
      </c>
      <c r="I1599" s="18" t="s">
        <v>26</v>
      </c>
      <c r="J1599" s="15" t="n">
        <v>2017</v>
      </c>
      <c r="K1599" s="19" t="s">
        <v>27</v>
      </c>
      <c r="L1599" s="15" t="s">
        <v>28</v>
      </c>
      <c r="M1599" s="15" t="s">
        <v>33</v>
      </c>
      <c r="N1599" s="17" t="s">
        <v>809</v>
      </c>
      <c r="O1599" s="15"/>
      <c r="P1599" s="15"/>
      <c r="Q1599" s="21"/>
      <c r="R1599" s="21"/>
      <c r="S1599" s="21"/>
      <c r="T1599" s="28"/>
      <c r="U1599" s="24"/>
    </row>
    <row r="1600" s="25" customFormat="true" ht="41.4" hidden="false" customHeight="false" outlineLevel="0" collapsed="false">
      <c r="A1600" s="36" t="s">
        <v>3522</v>
      </c>
      <c r="B1600" s="26" t="s">
        <v>3523</v>
      </c>
      <c r="C1600" s="14"/>
      <c r="D1600" s="15" t="n">
        <v>6</v>
      </c>
      <c r="E1600" s="27" t="n">
        <f aca="false">F1600/2</f>
        <v>1080</v>
      </c>
      <c r="F1600" s="16" t="n">
        <v>2160</v>
      </c>
      <c r="G1600" s="15" t="s">
        <v>36</v>
      </c>
      <c r="H1600" s="17" t="s">
        <v>25</v>
      </c>
      <c r="I1600" s="18" t="s">
        <v>26</v>
      </c>
      <c r="J1600" s="15" t="n">
        <v>2019</v>
      </c>
      <c r="K1600" s="19" t="s">
        <v>27</v>
      </c>
      <c r="L1600" s="15" t="s">
        <v>28</v>
      </c>
      <c r="M1600" s="15" t="s">
        <v>33</v>
      </c>
      <c r="N1600" s="17" t="s">
        <v>809</v>
      </c>
      <c r="O1600" s="15"/>
      <c r="P1600" s="15"/>
      <c r="Q1600" s="21" t="s">
        <v>78</v>
      </c>
      <c r="R1600" s="21"/>
      <c r="S1600" s="21"/>
      <c r="T1600" s="28"/>
      <c r="U1600" s="24"/>
    </row>
    <row r="1601" s="25" customFormat="true" ht="41.4" hidden="false" customHeight="false" outlineLevel="0" collapsed="false">
      <c r="A1601" s="36" t="s">
        <v>3524</v>
      </c>
      <c r="B1601" s="26" t="s">
        <v>3525</v>
      </c>
      <c r="C1601" s="14" t="s">
        <v>246</v>
      </c>
      <c r="D1601" s="15" t="n">
        <v>6</v>
      </c>
      <c r="E1601" s="27" t="n">
        <f aca="false">F1601/2</f>
        <v>6080</v>
      </c>
      <c r="F1601" s="38" t="n">
        <v>12160</v>
      </c>
      <c r="G1601" s="15" t="s">
        <v>36</v>
      </c>
      <c r="H1601" s="17" t="s">
        <v>25</v>
      </c>
      <c r="I1601" s="18" t="s">
        <v>26</v>
      </c>
      <c r="J1601" s="15" t="n">
        <v>2017</v>
      </c>
      <c r="K1601" s="19" t="s">
        <v>27</v>
      </c>
      <c r="L1601" s="15" t="s">
        <v>28</v>
      </c>
      <c r="M1601" s="15" t="s">
        <v>33</v>
      </c>
      <c r="N1601" s="20" t="s">
        <v>809</v>
      </c>
      <c r="O1601" s="15"/>
      <c r="P1601" s="15"/>
      <c r="Q1601" s="21" t="s">
        <v>247</v>
      </c>
      <c r="R1601" s="21"/>
      <c r="S1601" s="21"/>
      <c r="T1601" s="31" t="n">
        <v>45882</v>
      </c>
      <c r="U1601" s="24" t="s">
        <v>248</v>
      </c>
    </row>
    <row r="1602" s="25" customFormat="true" ht="41.4" hidden="false" customHeight="false" outlineLevel="0" collapsed="false">
      <c r="A1602" s="36" t="s">
        <v>3526</v>
      </c>
      <c r="B1602" s="26" t="s">
        <v>3527</v>
      </c>
      <c r="C1602" s="14" t="s">
        <v>1796</v>
      </c>
      <c r="D1602" s="15" t="n">
        <v>12</v>
      </c>
      <c r="E1602" s="27" t="n">
        <f aca="false">F1602/2</f>
        <v>28080</v>
      </c>
      <c r="F1602" s="16" t="n">
        <f aca="false">46800*1.2</f>
        <v>56160</v>
      </c>
      <c r="G1602" s="15" t="s">
        <v>36</v>
      </c>
      <c r="H1602" s="17" t="s">
        <v>25</v>
      </c>
      <c r="I1602" s="18" t="s">
        <v>26</v>
      </c>
      <c r="J1602" s="15" t="n">
        <v>2018</v>
      </c>
      <c r="K1602" s="19" t="s">
        <v>27</v>
      </c>
      <c r="L1602" s="15" t="s">
        <v>28</v>
      </c>
      <c r="M1602" s="15" t="s">
        <v>33</v>
      </c>
      <c r="N1602" s="17" t="s">
        <v>809</v>
      </c>
      <c r="O1602" s="15" t="s">
        <v>203</v>
      </c>
      <c r="P1602" s="15"/>
      <c r="Q1602" s="21" t="s">
        <v>78</v>
      </c>
      <c r="R1602" s="21"/>
      <c r="S1602" s="21"/>
      <c r="T1602" s="28"/>
      <c r="U1602" s="24"/>
    </row>
    <row r="1603" s="25" customFormat="true" ht="41.4" hidden="false" customHeight="false" outlineLevel="0" collapsed="false">
      <c r="A1603" s="36" t="s">
        <v>3528</v>
      </c>
      <c r="B1603" s="26" t="s">
        <v>3529</v>
      </c>
      <c r="C1603" s="14" t="s">
        <v>1731</v>
      </c>
      <c r="D1603" s="15" t="n">
        <v>4</v>
      </c>
      <c r="E1603" s="27" t="n">
        <f aca="false">F1603/2</f>
        <v>2000</v>
      </c>
      <c r="F1603" s="16" t="n">
        <v>4000</v>
      </c>
      <c r="G1603" s="15" t="s">
        <v>36</v>
      </c>
      <c r="H1603" s="17" t="s">
        <v>25</v>
      </c>
      <c r="I1603" s="18" t="s">
        <v>26</v>
      </c>
      <c r="J1603" s="15" t="n">
        <v>2019</v>
      </c>
      <c r="K1603" s="19" t="s">
        <v>27</v>
      </c>
      <c r="L1603" s="15" t="s">
        <v>28</v>
      </c>
      <c r="M1603" s="15" t="s">
        <v>33</v>
      </c>
      <c r="N1603" s="17" t="s">
        <v>809</v>
      </c>
      <c r="O1603" s="15"/>
      <c r="P1603" s="15"/>
      <c r="Q1603" s="21" t="s">
        <v>78</v>
      </c>
      <c r="R1603" s="21"/>
      <c r="S1603" s="21"/>
      <c r="T1603" s="28"/>
      <c r="U1603" s="24"/>
    </row>
    <row r="1604" s="25" customFormat="true" ht="41.4" hidden="false" customHeight="false" outlineLevel="0" collapsed="false">
      <c r="A1604" s="36" t="s">
        <v>3530</v>
      </c>
      <c r="B1604" s="26" t="s">
        <v>3531</v>
      </c>
      <c r="C1604" s="14" t="s">
        <v>197</v>
      </c>
      <c r="D1604" s="15" t="n">
        <v>12</v>
      </c>
      <c r="E1604" s="27" t="n">
        <f aca="false">F1604/2</f>
        <v>4125</v>
      </c>
      <c r="F1604" s="16" t="n">
        <v>8250</v>
      </c>
      <c r="G1604" s="15" t="s">
        <v>36</v>
      </c>
      <c r="H1604" s="17" t="s">
        <v>25</v>
      </c>
      <c r="I1604" s="18" t="s">
        <v>26</v>
      </c>
      <c r="J1604" s="15" t="n">
        <v>2020</v>
      </c>
      <c r="K1604" s="19" t="s">
        <v>27</v>
      </c>
      <c r="L1604" s="15" t="s">
        <v>28</v>
      </c>
      <c r="M1604" s="15" t="s">
        <v>33</v>
      </c>
      <c r="N1604" s="17" t="s">
        <v>53</v>
      </c>
      <c r="O1604" s="15"/>
      <c r="P1604" s="15"/>
      <c r="Q1604" s="21"/>
      <c r="R1604" s="21"/>
      <c r="S1604" s="21"/>
      <c r="T1604" s="28"/>
      <c r="U1604" s="24"/>
    </row>
    <row r="1605" s="25" customFormat="true" ht="41.4" hidden="false" customHeight="false" outlineLevel="0" collapsed="false">
      <c r="A1605" s="36" t="s">
        <v>3532</v>
      </c>
      <c r="B1605" s="26" t="s">
        <v>3533</v>
      </c>
      <c r="C1605" s="14" t="s">
        <v>122</v>
      </c>
      <c r="D1605" s="15" t="n">
        <v>12</v>
      </c>
      <c r="E1605" s="27" t="n">
        <v>23628</v>
      </c>
      <c r="F1605" s="16" t="n">
        <v>39204</v>
      </c>
      <c r="G1605" s="15" t="s">
        <v>36</v>
      </c>
      <c r="H1605" s="17" t="s">
        <v>25</v>
      </c>
      <c r="I1605" s="18" t="s">
        <v>26</v>
      </c>
      <c r="J1605" s="15"/>
      <c r="K1605" s="19" t="s">
        <v>27</v>
      </c>
      <c r="L1605" s="15" t="s">
        <v>28</v>
      </c>
      <c r="M1605" s="15" t="s">
        <v>33</v>
      </c>
      <c r="N1605" s="17" t="s">
        <v>96</v>
      </c>
      <c r="O1605" s="15"/>
      <c r="P1605" s="15"/>
      <c r="Q1605" s="21" t="s">
        <v>78</v>
      </c>
      <c r="R1605" s="21"/>
      <c r="S1605" s="21"/>
      <c r="T1605" s="28"/>
      <c r="U1605" s="24"/>
    </row>
    <row r="1606" s="25" customFormat="true" ht="41.4" hidden="false" customHeight="false" outlineLevel="0" collapsed="false">
      <c r="A1606" s="36" t="s">
        <v>3534</v>
      </c>
      <c r="B1606" s="26" t="s">
        <v>3535</v>
      </c>
      <c r="C1606" s="14" t="s">
        <v>246</v>
      </c>
      <c r="D1606" s="15" t="n">
        <v>4</v>
      </c>
      <c r="E1606" s="27" t="n">
        <f aca="false">F1606/2</f>
        <v>2023</v>
      </c>
      <c r="F1606" s="38" t="n">
        <v>4046</v>
      </c>
      <c r="G1606" s="15" t="s">
        <v>24</v>
      </c>
      <c r="H1606" s="17" t="s">
        <v>25</v>
      </c>
      <c r="I1606" s="18" t="s">
        <v>26</v>
      </c>
      <c r="J1606" s="15" t="n">
        <v>2000</v>
      </c>
      <c r="K1606" s="19" t="s">
        <v>27</v>
      </c>
      <c r="L1606" s="15" t="s">
        <v>28</v>
      </c>
      <c r="M1606" s="15" t="s">
        <v>33</v>
      </c>
      <c r="N1606" s="17" t="s">
        <v>53</v>
      </c>
      <c r="O1606" s="15"/>
      <c r="P1606" s="15"/>
      <c r="Q1606" s="21" t="s">
        <v>280</v>
      </c>
      <c r="R1606" s="21"/>
      <c r="S1606" s="21"/>
      <c r="T1606" s="31" t="n">
        <v>45882</v>
      </c>
      <c r="U1606" s="24" t="s">
        <v>3536</v>
      </c>
    </row>
    <row r="1607" s="25" customFormat="true" ht="41.4" hidden="false" customHeight="false" outlineLevel="0" collapsed="false">
      <c r="A1607" s="36" t="s">
        <v>3537</v>
      </c>
      <c r="B1607" s="26" t="s">
        <v>3538</v>
      </c>
      <c r="C1607" s="14" t="s">
        <v>3076</v>
      </c>
      <c r="D1607" s="15" t="n">
        <v>12</v>
      </c>
      <c r="E1607" s="27" t="n">
        <f aca="false">F1607/2</f>
        <v>50</v>
      </c>
      <c r="F1607" s="16" t="n">
        <v>100</v>
      </c>
      <c r="G1607" s="15" t="s">
        <v>36</v>
      </c>
      <c r="H1607" s="17" t="s">
        <v>25</v>
      </c>
      <c r="I1607" s="18" t="s">
        <v>26</v>
      </c>
      <c r="J1607" s="15" t="n">
        <v>2019</v>
      </c>
      <c r="K1607" s="19" t="s">
        <v>27</v>
      </c>
      <c r="L1607" s="15" t="s">
        <v>28</v>
      </c>
      <c r="M1607" s="15" t="s">
        <v>33</v>
      </c>
      <c r="N1607" s="20" t="s">
        <v>53</v>
      </c>
      <c r="O1607" s="15"/>
      <c r="P1607" s="15"/>
      <c r="Q1607" s="21"/>
      <c r="R1607" s="21"/>
      <c r="S1607" s="21"/>
      <c r="T1607" s="28"/>
      <c r="U1607" s="24"/>
    </row>
    <row r="1608" s="25" customFormat="true" ht="41.4" hidden="false" customHeight="false" outlineLevel="0" collapsed="false">
      <c r="A1608" s="36" t="s">
        <v>3539</v>
      </c>
      <c r="B1608" s="26"/>
      <c r="C1608" s="14" t="s">
        <v>579</v>
      </c>
      <c r="D1608" s="15" t="n">
        <v>12</v>
      </c>
      <c r="E1608" s="27" t="n">
        <f aca="false">F1608/2</f>
        <v>8400</v>
      </c>
      <c r="F1608" s="16" t="n">
        <f aca="false">14000*1.2</f>
        <v>16800</v>
      </c>
      <c r="G1608" s="15" t="s">
        <v>36</v>
      </c>
      <c r="H1608" s="17" t="s">
        <v>25</v>
      </c>
      <c r="I1608" s="18" t="s">
        <v>26</v>
      </c>
      <c r="J1608" s="15" t="n">
        <v>2023</v>
      </c>
      <c r="K1608" s="19" t="s">
        <v>27</v>
      </c>
      <c r="L1608" s="15" t="s">
        <v>28</v>
      </c>
      <c r="M1608" s="15" t="s">
        <v>33</v>
      </c>
      <c r="N1608" s="20" t="s">
        <v>53</v>
      </c>
      <c r="O1608" s="15"/>
      <c r="P1608" s="15"/>
      <c r="Q1608" s="21"/>
      <c r="R1608" s="21"/>
      <c r="S1608" s="21"/>
      <c r="T1608" s="28"/>
      <c r="U1608" s="24"/>
    </row>
    <row r="1609" s="25" customFormat="true" ht="41.4" hidden="false" customHeight="false" outlineLevel="0" collapsed="false">
      <c r="A1609" s="36" t="s">
        <v>3540</v>
      </c>
      <c r="B1609" s="26"/>
      <c r="C1609" s="14" t="s">
        <v>35</v>
      </c>
      <c r="D1609" s="15" t="n">
        <v>3</v>
      </c>
      <c r="E1609" s="27" t="n">
        <f aca="false">F1609/2</f>
        <v>50</v>
      </c>
      <c r="F1609" s="16" t="n">
        <v>100</v>
      </c>
      <c r="G1609" s="15" t="s">
        <v>36</v>
      </c>
      <c r="H1609" s="17" t="s">
        <v>25</v>
      </c>
      <c r="I1609" s="18" t="s">
        <v>26</v>
      </c>
      <c r="J1609" s="15" t="n">
        <v>2025</v>
      </c>
      <c r="K1609" s="19" t="s">
        <v>37</v>
      </c>
      <c r="L1609" s="15" t="s">
        <v>28</v>
      </c>
      <c r="M1609" s="15"/>
      <c r="N1609" s="17"/>
      <c r="O1609" s="15"/>
      <c r="P1609" s="15"/>
      <c r="Q1609" s="21"/>
      <c r="R1609" s="21"/>
      <c r="S1609" s="21"/>
      <c r="T1609" s="28"/>
      <c r="U1609" s="24"/>
    </row>
    <row r="1610" s="25" customFormat="true" ht="41.4" hidden="false" customHeight="false" outlineLevel="0" collapsed="false">
      <c r="A1610" s="36" t="s">
        <v>3541</v>
      </c>
      <c r="B1610" s="26" t="s">
        <v>3542</v>
      </c>
      <c r="C1610" s="14" t="s">
        <v>296</v>
      </c>
      <c r="D1610" s="15" t="n">
        <v>4</v>
      </c>
      <c r="E1610" s="27" t="n">
        <v>50</v>
      </c>
      <c r="F1610" s="16" t="n">
        <v>100</v>
      </c>
      <c r="G1610" s="15" t="s">
        <v>36</v>
      </c>
      <c r="H1610" s="17" t="s">
        <v>25</v>
      </c>
      <c r="I1610" s="18" t="s">
        <v>26</v>
      </c>
      <c r="J1610" s="15"/>
      <c r="K1610" s="19" t="s">
        <v>27</v>
      </c>
      <c r="L1610" s="15" t="s">
        <v>28</v>
      </c>
      <c r="M1610" s="15" t="s">
        <v>33</v>
      </c>
      <c r="N1610" s="17" t="s">
        <v>53</v>
      </c>
      <c r="O1610" s="15"/>
      <c r="P1610" s="15"/>
      <c r="Q1610" s="21" t="s">
        <v>78</v>
      </c>
      <c r="R1610" s="21"/>
      <c r="S1610" s="21"/>
      <c r="T1610" s="28"/>
      <c r="U1610" s="24"/>
    </row>
    <row r="1611" s="25" customFormat="true" ht="41.4" hidden="false" customHeight="false" outlineLevel="0" collapsed="false">
      <c r="A1611" s="36" t="s">
        <v>3543</v>
      </c>
      <c r="B1611" s="26" t="s">
        <v>3544</v>
      </c>
      <c r="C1611" s="14" t="s">
        <v>1671</v>
      </c>
      <c r="D1611" s="15" t="n">
        <v>6</v>
      </c>
      <c r="E1611" s="27" t="n">
        <f aca="false">F1611/2</f>
        <v>1550</v>
      </c>
      <c r="F1611" s="16" t="n">
        <v>3100</v>
      </c>
      <c r="G1611" s="15" t="s">
        <v>36</v>
      </c>
      <c r="H1611" s="17" t="s">
        <v>25</v>
      </c>
      <c r="I1611" s="18" t="s">
        <v>26</v>
      </c>
      <c r="J1611" s="15" t="n">
        <v>2022</v>
      </c>
      <c r="K1611" s="19" t="s">
        <v>27</v>
      </c>
      <c r="L1611" s="15" t="s">
        <v>28</v>
      </c>
      <c r="M1611" s="15" t="s">
        <v>33</v>
      </c>
      <c r="N1611" s="20" t="s">
        <v>45</v>
      </c>
      <c r="O1611" s="15"/>
      <c r="P1611" s="15"/>
      <c r="Q1611" s="21"/>
      <c r="R1611" s="21"/>
      <c r="S1611" s="21"/>
      <c r="T1611" s="28"/>
      <c r="U1611" s="24"/>
    </row>
    <row r="1612" s="25" customFormat="true" ht="41.4" hidden="false" customHeight="false" outlineLevel="0" collapsed="false">
      <c r="A1612" s="36" t="s">
        <v>3545</v>
      </c>
      <c r="B1612" s="26"/>
      <c r="C1612" s="14" t="s">
        <v>142</v>
      </c>
      <c r="D1612" s="15" t="n">
        <v>4</v>
      </c>
      <c r="E1612" s="27" t="n">
        <f aca="false">F1612/2</f>
        <v>1404</v>
      </c>
      <c r="F1612" s="16" t="n">
        <v>2808</v>
      </c>
      <c r="G1612" s="15" t="s">
        <v>36</v>
      </c>
      <c r="H1612" s="17" t="s">
        <v>25</v>
      </c>
      <c r="I1612" s="18" t="s">
        <v>26</v>
      </c>
      <c r="J1612" s="15" t="n">
        <v>2023</v>
      </c>
      <c r="K1612" s="19" t="s">
        <v>27</v>
      </c>
      <c r="L1612" s="15" t="s">
        <v>28</v>
      </c>
      <c r="M1612" s="15" t="s">
        <v>33</v>
      </c>
      <c r="N1612" s="17" t="s">
        <v>53</v>
      </c>
      <c r="O1612" s="15" t="s">
        <v>46</v>
      </c>
      <c r="P1612" s="15"/>
      <c r="Q1612" s="21"/>
      <c r="R1612" s="21"/>
      <c r="S1612" s="21"/>
      <c r="T1612" s="28"/>
      <c r="U1612" s="24"/>
    </row>
    <row r="1613" s="25" customFormat="true" ht="41.4" hidden="false" customHeight="false" outlineLevel="0" collapsed="false">
      <c r="A1613" s="36" t="s">
        <v>3546</v>
      </c>
      <c r="B1613" s="26"/>
      <c r="C1613" s="14" t="s">
        <v>51</v>
      </c>
      <c r="D1613" s="15" t="n">
        <v>4</v>
      </c>
      <c r="E1613" s="27" t="n">
        <f aca="false">F1613/2</f>
        <v>50</v>
      </c>
      <c r="F1613" s="16" t="n">
        <v>100</v>
      </c>
      <c r="G1613" s="15" t="s">
        <v>36</v>
      </c>
      <c r="H1613" s="17" t="s">
        <v>25</v>
      </c>
      <c r="I1613" s="18" t="s">
        <v>26</v>
      </c>
      <c r="J1613" s="15" t="n">
        <v>2023</v>
      </c>
      <c r="K1613" s="19" t="s">
        <v>52</v>
      </c>
      <c r="L1613" s="15" t="s">
        <v>28</v>
      </c>
      <c r="M1613" s="15" t="s">
        <v>33</v>
      </c>
      <c r="N1613" s="17" t="s">
        <v>53</v>
      </c>
      <c r="O1613" s="15"/>
      <c r="P1613" s="15"/>
      <c r="Q1613" s="21"/>
      <c r="R1613" s="21"/>
      <c r="S1613" s="21"/>
      <c r="T1613" s="28"/>
      <c r="U1613" s="24"/>
    </row>
    <row r="1614" s="25" customFormat="true" ht="41.4" hidden="false" customHeight="false" outlineLevel="0" collapsed="false">
      <c r="A1614" s="36" t="s">
        <v>3547</v>
      </c>
      <c r="B1614" s="26"/>
      <c r="C1614" s="14" t="s">
        <v>3548</v>
      </c>
      <c r="D1614" s="15" t="n">
        <v>12</v>
      </c>
      <c r="E1614" s="27" t="n">
        <f aca="false">F1614/2</f>
        <v>2500</v>
      </c>
      <c r="F1614" s="16" t="n">
        <v>5000</v>
      </c>
      <c r="G1614" s="15" t="s">
        <v>36</v>
      </c>
      <c r="H1614" s="17" t="s">
        <v>25</v>
      </c>
      <c r="I1614" s="18" t="s">
        <v>26</v>
      </c>
      <c r="J1614" s="15" t="n">
        <v>2024</v>
      </c>
      <c r="K1614" s="19" t="s">
        <v>27</v>
      </c>
      <c r="L1614" s="15" t="s">
        <v>28</v>
      </c>
      <c r="M1614" s="15" t="s">
        <v>33</v>
      </c>
      <c r="N1614" s="17" t="s">
        <v>270</v>
      </c>
      <c r="O1614" s="15"/>
      <c r="P1614" s="15"/>
      <c r="Q1614" s="21"/>
      <c r="R1614" s="21"/>
      <c r="S1614" s="21"/>
      <c r="T1614" s="28"/>
      <c r="U1614" s="24"/>
    </row>
    <row r="1615" s="25" customFormat="true" ht="41.4" hidden="false" customHeight="false" outlineLevel="0" collapsed="false">
      <c r="A1615" s="36" t="s">
        <v>3549</v>
      </c>
      <c r="B1615" s="26" t="s">
        <v>3550</v>
      </c>
      <c r="C1615" s="14" t="s">
        <v>3551</v>
      </c>
      <c r="D1615" s="15" t="n">
        <v>12</v>
      </c>
      <c r="E1615" s="27" t="n">
        <f aca="false">F1615/2</f>
        <v>4800</v>
      </c>
      <c r="F1615" s="16" t="n">
        <v>9600</v>
      </c>
      <c r="G1615" s="15" t="s">
        <v>36</v>
      </c>
      <c r="H1615" s="17" t="s">
        <v>25</v>
      </c>
      <c r="I1615" s="18" t="s">
        <v>26</v>
      </c>
      <c r="J1615" s="15" t="n">
        <v>2020</v>
      </c>
      <c r="K1615" s="19" t="s">
        <v>27</v>
      </c>
      <c r="L1615" s="15" t="s">
        <v>28</v>
      </c>
      <c r="M1615" s="15" t="s">
        <v>33</v>
      </c>
      <c r="N1615" s="20" t="s">
        <v>270</v>
      </c>
      <c r="O1615" s="15" t="s">
        <v>203</v>
      </c>
      <c r="P1615" s="15"/>
      <c r="Q1615" s="21"/>
      <c r="R1615" s="21"/>
      <c r="S1615" s="21"/>
      <c r="T1615" s="28"/>
      <c r="U1615" s="24"/>
    </row>
    <row r="1616" s="25" customFormat="true" ht="41.4" hidden="false" customHeight="false" outlineLevel="0" collapsed="false">
      <c r="A1616" s="36" t="s">
        <v>3552</v>
      </c>
      <c r="B1616" s="26" t="s">
        <v>3553</v>
      </c>
      <c r="C1616" s="14" t="s">
        <v>1422</v>
      </c>
      <c r="D1616" s="15" t="n">
        <v>12</v>
      </c>
      <c r="E1616" s="27" t="n">
        <f aca="false">F1616/2</f>
        <v>2500</v>
      </c>
      <c r="F1616" s="16" t="n">
        <v>5000</v>
      </c>
      <c r="G1616" s="15" t="s">
        <v>36</v>
      </c>
      <c r="H1616" s="17" t="s">
        <v>25</v>
      </c>
      <c r="I1616" s="18" t="s">
        <v>26</v>
      </c>
      <c r="J1616" s="15" t="n">
        <v>2018</v>
      </c>
      <c r="K1616" s="19" t="s">
        <v>27</v>
      </c>
      <c r="L1616" s="15" t="s">
        <v>28</v>
      </c>
      <c r="M1616" s="15" t="s">
        <v>33</v>
      </c>
      <c r="N1616" s="17" t="s">
        <v>53</v>
      </c>
      <c r="O1616" s="15"/>
      <c r="P1616" s="15"/>
      <c r="Q1616" s="21" t="s">
        <v>78</v>
      </c>
      <c r="R1616" s="21"/>
      <c r="S1616" s="21"/>
      <c r="T1616" s="28"/>
      <c r="U1616" s="24"/>
    </row>
    <row r="1617" s="25" customFormat="true" ht="41.4" hidden="false" customHeight="false" outlineLevel="0" collapsed="false">
      <c r="A1617" s="36" t="s">
        <v>3554</v>
      </c>
      <c r="B1617" s="26" t="s">
        <v>3555</v>
      </c>
      <c r="C1617" s="14" t="s">
        <v>1350</v>
      </c>
      <c r="D1617" s="15" t="n">
        <v>12</v>
      </c>
      <c r="E1617" s="27" t="n">
        <f aca="false">F1617/2</f>
        <v>10000</v>
      </c>
      <c r="F1617" s="16" t="n">
        <v>20000</v>
      </c>
      <c r="G1617" s="15" t="s">
        <v>36</v>
      </c>
      <c r="H1617" s="17" t="s">
        <v>25</v>
      </c>
      <c r="I1617" s="18" t="s">
        <v>26</v>
      </c>
      <c r="J1617" s="15" t="n">
        <v>2014</v>
      </c>
      <c r="K1617" s="19" t="s">
        <v>27</v>
      </c>
      <c r="L1617" s="15" t="s">
        <v>28</v>
      </c>
      <c r="M1617" s="15" t="s">
        <v>33</v>
      </c>
      <c r="N1617" s="17" t="s">
        <v>53</v>
      </c>
      <c r="O1617" s="15"/>
      <c r="P1617" s="15"/>
      <c r="Q1617" s="21" t="s">
        <v>55</v>
      </c>
      <c r="R1617" s="21"/>
      <c r="S1617" s="21"/>
      <c r="T1617" s="28"/>
      <c r="U1617" s="24"/>
    </row>
    <row r="1618" s="25" customFormat="true" ht="41.4" hidden="false" customHeight="false" outlineLevel="0" collapsed="false">
      <c r="A1618" s="36" t="s">
        <v>3556</v>
      </c>
      <c r="B1618" s="26" t="s">
        <v>3557</v>
      </c>
      <c r="C1618" s="14" t="s">
        <v>1350</v>
      </c>
      <c r="D1618" s="15" t="n">
        <v>4</v>
      </c>
      <c r="E1618" s="27" t="n">
        <f aca="false">F1618/2</f>
        <v>3600</v>
      </c>
      <c r="F1618" s="16" t="n">
        <v>7200</v>
      </c>
      <c r="G1618" s="15" t="s">
        <v>36</v>
      </c>
      <c r="H1618" s="17" t="s">
        <v>25</v>
      </c>
      <c r="I1618" s="18" t="s">
        <v>26</v>
      </c>
      <c r="J1618" s="15" t="n">
        <v>2020</v>
      </c>
      <c r="K1618" s="19" t="s">
        <v>27</v>
      </c>
      <c r="L1618" s="15" t="s">
        <v>28</v>
      </c>
      <c r="M1618" s="15" t="s">
        <v>33</v>
      </c>
      <c r="N1618" s="20" t="s">
        <v>53</v>
      </c>
      <c r="O1618" s="15"/>
      <c r="P1618" s="15"/>
      <c r="Q1618" s="21"/>
      <c r="R1618" s="21"/>
      <c r="S1618" s="21"/>
      <c r="T1618" s="28"/>
      <c r="U1618" s="24"/>
    </row>
    <row r="1619" s="25" customFormat="true" ht="41.4" hidden="false" customHeight="false" outlineLevel="0" collapsed="false">
      <c r="A1619" s="36" t="s">
        <v>3558</v>
      </c>
      <c r="B1619" s="26" t="s">
        <v>3559</v>
      </c>
      <c r="C1619" s="14" t="s">
        <v>1350</v>
      </c>
      <c r="D1619" s="15" t="n">
        <v>12</v>
      </c>
      <c r="E1619" s="27" t="n">
        <f aca="false">F1619/2</f>
        <v>4250</v>
      </c>
      <c r="F1619" s="16" t="n">
        <v>8500</v>
      </c>
      <c r="G1619" s="15" t="s">
        <v>36</v>
      </c>
      <c r="H1619" s="17" t="s">
        <v>25</v>
      </c>
      <c r="I1619" s="18" t="s">
        <v>26</v>
      </c>
      <c r="J1619" s="15" t="n">
        <v>2020</v>
      </c>
      <c r="K1619" s="19" t="s">
        <v>27</v>
      </c>
      <c r="L1619" s="15" t="s">
        <v>28</v>
      </c>
      <c r="M1619" s="15" t="s">
        <v>33</v>
      </c>
      <c r="N1619" s="20" t="s">
        <v>53</v>
      </c>
      <c r="O1619" s="15"/>
      <c r="P1619" s="15"/>
      <c r="Q1619" s="21"/>
      <c r="R1619" s="21"/>
      <c r="S1619" s="21"/>
      <c r="T1619" s="28"/>
      <c r="U1619" s="24"/>
    </row>
    <row r="1620" s="25" customFormat="true" ht="41.4" hidden="false" customHeight="false" outlineLevel="0" collapsed="false">
      <c r="A1620" s="36" t="s">
        <v>3560</v>
      </c>
      <c r="B1620" s="26"/>
      <c r="C1620" s="14" t="s">
        <v>144</v>
      </c>
      <c r="D1620" s="15" t="n">
        <v>4</v>
      </c>
      <c r="E1620" s="16" t="n">
        <f aca="false">F1620/2</f>
        <v>50</v>
      </c>
      <c r="F1620" s="16" t="n">
        <v>100</v>
      </c>
      <c r="G1620" s="15" t="s">
        <v>36</v>
      </c>
      <c r="H1620" s="17" t="s">
        <v>25</v>
      </c>
      <c r="I1620" s="18" t="s">
        <v>26</v>
      </c>
      <c r="J1620" s="15" t="n">
        <v>2025</v>
      </c>
      <c r="K1620" s="19" t="s">
        <v>145</v>
      </c>
      <c r="L1620" s="15" t="s">
        <v>28</v>
      </c>
      <c r="M1620" s="15" t="s">
        <v>33</v>
      </c>
      <c r="N1620" s="17"/>
      <c r="O1620" s="15"/>
      <c r="P1620" s="15"/>
      <c r="Q1620" s="21"/>
      <c r="R1620" s="21"/>
      <c r="S1620" s="21" t="s">
        <v>113</v>
      </c>
      <c r="T1620" s="31" t="n">
        <v>45880</v>
      </c>
      <c r="U1620" s="24"/>
    </row>
    <row r="1621" s="25" customFormat="true" ht="41.4" hidden="false" customHeight="false" outlineLevel="0" collapsed="false">
      <c r="A1621" s="36" t="s">
        <v>3561</v>
      </c>
      <c r="B1621" s="26" t="s">
        <v>3562</v>
      </c>
      <c r="C1621" s="14" t="s">
        <v>179</v>
      </c>
      <c r="D1621" s="15" t="n">
        <v>6</v>
      </c>
      <c r="E1621" s="27" t="n">
        <f aca="false">F1621/2</f>
        <v>7200</v>
      </c>
      <c r="F1621" s="16" t="n">
        <f aca="false">12000*1.2</f>
        <v>14400</v>
      </c>
      <c r="G1621" s="15" t="s">
        <v>36</v>
      </c>
      <c r="H1621" s="17" t="s">
        <v>25</v>
      </c>
      <c r="I1621" s="18" t="s">
        <v>26</v>
      </c>
      <c r="J1621" s="15" t="n">
        <v>2018</v>
      </c>
      <c r="K1621" s="19" t="s">
        <v>27</v>
      </c>
      <c r="L1621" s="15" t="s">
        <v>28</v>
      </c>
      <c r="M1621" s="15" t="s">
        <v>33</v>
      </c>
      <c r="N1621" s="17" t="s">
        <v>53</v>
      </c>
      <c r="O1621" s="15"/>
      <c r="P1621" s="15"/>
      <c r="Q1621" s="21" t="s">
        <v>78</v>
      </c>
      <c r="R1621" s="21"/>
      <c r="S1621" s="21"/>
      <c r="T1621" s="28"/>
      <c r="U1621" s="24"/>
    </row>
    <row r="1622" s="25" customFormat="true" ht="41.4" hidden="false" customHeight="false" outlineLevel="0" collapsed="false">
      <c r="A1622" s="36" t="s">
        <v>3563</v>
      </c>
      <c r="B1622" s="26" t="s">
        <v>3564</v>
      </c>
      <c r="C1622" s="14" t="s">
        <v>1459</v>
      </c>
      <c r="D1622" s="15" t="n">
        <v>4</v>
      </c>
      <c r="E1622" s="27" t="n">
        <v>50</v>
      </c>
      <c r="F1622" s="16" t="n">
        <v>100</v>
      </c>
      <c r="G1622" s="15" t="s">
        <v>36</v>
      </c>
      <c r="H1622" s="17" t="s">
        <v>25</v>
      </c>
      <c r="I1622" s="18" t="s">
        <v>26</v>
      </c>
      <c r="J1622" s="15" t="n">
        <v>2023</v>
      </c>
      <c r="K1622" s="19" t="s">
        <v>1460</v>
      </c>
      <c r="L1622" s="15" t="s">
        <v>28</v>
      </c>
      <c r="M1622" s="15" t="s">
        <v>33</v>
      </c>
      <c r="N1622" s="20" t="s">
        <v>53</v>
      </c>
      <c r="O1622" s="15"/>
      <c r="P1622" s="15"/>
      <c r="Q1622" s="21"/>
      <c r="R1622" s="21"/>
      <c r="S1622" s="21"/>
      <c r="T1622" s="28"/>
      <c r="U1622" s="24"/>
    </row>
    <row r="1623" s="25" customFormat="true" ht="41.4" hidden="false" customHeight="false" outlineLevel="0" collapsed="false">
      <c r="A1623" s="59" t="s">
        <v>3565</v>
      </c>
      <c r="B1623" s="30" t="s">
        <v>3566</v>
      </c>
      <c r="C1623" s="14" t="s">
        <v>3567</v>
      </c>
      <c r="D1623" s="15" t="n">
        <v>12</v>
      </c>
      <c r="E1623" s="16" t="n">
        <f aca="false">F1623/2</f>
        <v>14976</v>
      </c>
      <c r="F1623" s="16" t="n">
        <f aca="false">24960*1.2</f>
        <v>29952</v>
      </c>
      <c r="G1623" s="15" t="s">
        <v>36</v>
      </c>
      <c r="H1623" s="17" t="s">
        <v>25</v>
      </c>
      <c r="I1623" s="18" t="s">
        <v>26</v>
      </c>
      <c r="J1623" s="15" t="n">
        <v>2025</v>
      </c>
      <c r="K1623" s="19" t="s">
        <v>27</v>
      </c>
      <c r="L1623" s="15" t="s">
        <v>28</v>
      </c>
      <c r="M1623" s="15" t="s">
        <v>33</v>
      </c>
      <c r="N1623" s="17" t="s">
        <v>53</v>
      </c>
      <c r="O1623" s="15"/>
      <c r="P1623" s="15"/>
      <c r="Q1623" s="21"/>
      <c r="R1623" s="21"/>
      <c r="S1623" s="40"/>
      <c r="T1623" s="69"/>
      <c r="U1623" s="24" t="s">
        <v>3568</v>
      </c>
    </row>
    <row r="1624" s="25" customFormat="true" ht="41.4" hidden="false" customHeight="false" outlineLevel="0" collapsed="false">
      <c r="A1624" s="36" t="s">
        <v>3569</v>
      </c>
      <c r="B1624" s="26" t="s">
        <v>3570</v>
      </c>
      <c r="C1624" s="14" t="s">
        <v>1350</v>
      </c>
      <c r="D1624" s="15" t="n">
        <v>4</v>
      </c>
      <c r="E1624" s="27" t="n">
        <f aca="false">F1624/2</f>
        <v>2500</v>
      </c>
      <c r="F1624" s="16" t="n">
        <v>5000</v>
      </c>
      <c r="G1624" s="15" t="s">
        <v>36</v>
      </c>
      <c r="H1624" s="17" t="s">
        <v>25</v>
      </c>
      <c r="I1624" s="18" t="s">
        <v>26</v>
      </c>
      <c r="J1624" s="15" t="n">
        <v>2020</v>
      </c>
      <c r="K1624" s="19" t="s">
        <v>27</v>
      </c>
      <c r="L1624" s="15" t="s">
        <v>28</v>
      </c>
      <c r="M1624" s="15" t="s">
        <v>33</v>
      </c>
      <c r="N1624" s="20" t="s">
        <v>53</v>
      </c>
      <c r="O1624" s="15"/>
      <c r="P1624" s="15"/>
      <c r="Q1624" s="21"/>
      <c r="R1624" s="21"/>
      <c r="S1624" s="21"/>
      <c r="T1624" s="28"/>
      <c r="U1624" s="24"/>
    </row>
    <row r="1625" s="25" customFormat="true" ht="41.4" hidden="false" customHeight="false" outlineLevel="0" collapsed="false">
      <c r="A1625" s="36" t="s">
        <v>3571</v>
      </c>
      <c r="B1625" s="26" t="s">
        <v>3572</v>
      </c>
      <c r="C1625" s="14" t="s">
        <v>122</v>
      </c>
      <c r="D1625" s="15" t="n">
        <v>12</v>
      </c>
      <c r="E1625" s="27" t="n">
        <v>23628</v>
      </c>
      <c r="F1625" s="16" t="n">
        <v>39204</v>
      </c>
      <c r="G1625" s="15" t="s">
        <v>36</v>
      </c>
      <c r="H1625" s="17" t="s">
        <v>25</v>
      </c>
      <c r="I1625" s="18" t="s">
        <v>26</v>
      </c>
      <c r="J1625" s="15" t="n">
        <v>2017</v>
      </c>
      <c r="K1625" s="19" t="s">
        <v>27</v>
      </c>
      <c r="L1625" s="15" t="s">
        <v>28</v>
      </c>
      <c r="M1625" s="15" t="s">
        <v>33</v>
      </c>
      <c r="N1625" s="20" t="s">
        <v>53</v>
      </c>
      <c r="O1625" s="15"/>
      <c r="P1625" s="15"/>
      <c r="Q1625" s="21"/>
      <c r="R1625" s="21"/>
      <c r="S1625" s="21"/>
      <c r="T1625" s="28"/>
      <c r="U1625" s="24"/>
    </row>
    <row r="1626" s="25" customFormat="true" ht="41.4" hidden="false" customHeight="false" outlineLevel="0" collapsed="false">
      <c r="A1626" s="36" t="s">
        <v>3573</v>
      </c>
      <c r="B1626" s="26" t="s">
        <v>3574</v>
      </c>
      <c r="C1626" s="14" t="s">
        <v>3575</v>
      </c>
      <c r="D1626" s="15" t="n">
        <v>6</v>
      </c>
      <c r="E1626" s="27" t="n">
        <v>600</v>
      </c>
      <c r="F1626" s="16" t="n">
        <v>1200</v>
      </c>
      <c r="G1626" s="15" t="s">
        <v>24</v>
      </c>
      <c r="H1626" s="17" t="s">
        <v>25</v>
      </c>
      <c r="I1626" s="18" t="s">
        <v>26</v>
      </c>
      <c r="J1626" s="15" t="n">
        <v>2006</v>
      </c>
      <c r="K1626" s="19" t="s">
        <v>27</v>
      </c>
      <c r="L1626" s="15" t="s">
        <v>28</v>
      </c>
      <c r="M1626" s="15" t="s">
        <v>33</v>
      </c>
      <c r="N1626" s="20" t="s">
        <v>53</v>
      </c>
      <c r="O1626" s="15"/>
      <c r="P1626" s="15"/>
      <c r="Q1626" s="21" t="s">
        <v>55</v>
      </c>
      <c r="R1626" s="21"/>
      <c r="S1626" s="21"/>
      <c r="T1626" s="28"/>
      <c r="U1626" s="24"/>
    </row>
    <row r="1627" s="25" customFormat="true" ht="41.4" hidden="false" customHeight="false" outlineLevel="0" collapsed="false">
      <c r="A1627" s="36" t="s">
        <v>3576</v>
      </c>
      <c r="B1627" s="26"/>
      <c r="C1627" s="14" t="s">
        <v>1724</v>
      </c>
      <c r="D1627" s="15" t="n">
        <v>12</v>
      </c>
      <c r="E1627" s="16" t="n">
        <f aca="false">F1627/2</f>
        <v>2365.5</v>
      </c>
      <c r="F1627" s="16" t="n">
        <f aca="false">CEILING(3942*1.2,1)</f>
        <v>4731</v>
      </c>
      <c r="G1627" s="15" t="s">
        <v>36</v>
      </c>
      <c r="H1627" s="17" t="s">
        <v>25</v>
      </c>
      <c r="I1627" s="18" t="s">
        <v>26</v>
      </c>
      <c r="J1627" s="15" t="n">
        <v>2024</v>
      </c>
      <c r="K1627" s="19" t="s">
        <v>1725</v>
      </c>
      <c r="L1627" s="15" t="s">
        <v>28</v>
      </c>
      <c r="M1627" s="15" t="s">
        <v>33</v>
      </c>
      <c r="N1627" s="17"/>
      <c r="O1627" s="15"/>
      <c r="P1627" s="15"/>
      <c r="Q1627" s="21"/>
      <c r="R1627" s="21"/>
      <c r="S1627" s="21"/>
      <c r="T1627" s="28"/>
      <c r="U1627" s="24"/>
    </row>
    <row r="1628" s="25" customFormat="true" ht="41.4" hidden="false" customHeight="false" outlineLevel="0" collapsed="false">
      <c r="A1628" s="36" t="s">
        <v>3577</v>
      </c>
      <c r="B1628" s="26" t="s">
        <v>3578</v>
      </c>
      <c r="C1628" s="14" t="s">
        <v>197</v>
      </c>
      <c r="D1628" s="15" t="n">
        <v>4</v>
      </c>
      <c r="E1628" s="27" t="n">
        <f aca="false">F1628/2</f>
        <v>625</v>
      </c>
      <c r="F1628" s="16" t="n">
        <v>1250</v>
      </c>
      <c r="G1628" s="15" t="s">
        <v>36</v>
      </c>
      <c r="H1628" s="17" t="s">
        <v>25</v>
      </c>
      <c r="I1628" s="18" t="s">
        <v>26</v>
      </c>
      <c r="J1628" s="15" t="n">
        <v>2020</v>
      </c>
      <c r="K1628" s="19" t="s">
        <v>27</v>
      </c>
      <c r="L1628" s="15" t="s">
        <v>28</v>
      </c>
      <c r="M1628" s="15" t="s">
        <v>33</v>
      </c>
      <c r="N1628" s="20" t="s">
        <v>53</v>
      </c>
      <c r="O1628" s="15"/>
      <c r="P1628" s="15"/>
      <c r="Q1628" s="21"/>
      <c r="R1628" s="21"/>
      <c r="S1628" s="21"/>
      <c r="T1628" s="28"/>
      <c r="U1628" s="24"/>
    </row>
    <row r="1629" s="25" customFormat="true" ht="41.4" hidden="false" customHeight="false" outlineLevel="0" collapsed="false">
      <c r="A1629" s="36" t="s">
        <v>3579</v>
      </c>
      <c r="B1629" s="26" t="s">
        <v>3580</v>
      </c>
      <c r="C1629" s="14" t="s">
        <v>1350</v>
      </c>
      <c r="D1629" s="15" t="n">
        <v>4</v>
      </c>
      <c r="E1629" s="27" t="n">
        <f aca="false">F1629/2</f>
        <v>2500</v>
      </c>
      <c r="F1629" s="16" t="n">
        <v>5000</v>
      </c>
      <c r="G1629" s="15" t="s">
        <v>36</v>
      </c>
      <c r="H1629" s="17" t="s">
        <v>25</v>
      </c>
      <c r="I1629" s="18" t="s">
        <v>26</v>
      </c>
      <c r="J1629" s="15" t="n">
        <v>2020</v>
      </c>
      <c r="K1629" s="19" t="s">
        <v>27</v>
      </c>
      <c r="L1629" s="15" t="s">
        <v>28</v>
      </c>
      <c r="M1629" s="15" t="s">
        <v>33</v>
      </c>
      <c r="N1629" s="20" t="s">
        <v>53</v>
      </c>
      <c r="O1629" s="15"/>
      <c r="P1629" s="15"/>
      <c r="Q1629" s="21"/>
      <c r="R1629" s="21"/>
      <c r="S1629" s="21"/>
      <c r="T1629" s="28"/>
      <c r="U1629" s="24"/>
    </row>
    <row r="1630" s="25" customFormat="true" ht="41.4" hidden="false" customHeight="false" outlineLevel="0" collapsed="false">
      <c r="A1630" s="36" t="s">
        <v>3581</v>
      </c>
      <c r="B1630" s="26" t="s">
        <v>3582</v>
      </c>
      <c r="C1630" s="14" t="s">
        <v>2130</v>
      </c>
      <c r="D1630" s="15" t="n">
        <v>6</v>
      </c>
      <c r="E1630" s="27" t="n">
        <f aca="false">F1630/2</f>
        <v>4212</v>
      </c>
      <c r="F1630" s="16" t="n">
        <f aca="false">6480*1.3</f>
        <v>8424</v>
      </c>
      <c r="G1630" s="15" t="s">
        <v>36</v>
      </c>
      <c r="H1630" s="17" t="s">
        <v>25</v>
      </c>
      <c r="I1630" s="18" t="s">
        <v>26</v>
      </c>
      <c r="J1630" s="15" t="n">
        <v>2021</v>
      </c>
      <c r="K1630" s="19" t="s">
        <v>27</v>
      </c>
      <c r="L1630" s="15" t="s">
        <v>28</v>
      </c>
      <c r="M1630" s="15" t="s">
        <v>33</v>
      </c>
      <c r="N1630" s="17" t="s">
        <v>53</v>
      </c>
      <c r="O1630" s="15"/>
      <c r="P1630" s="15"/>
      <c r="Q1630" s="21"/>
      <c r="R1630" s="21"/>
      <c r="S1630" s="21"/>
      <c r="T1630" s="28"/>
      <c r="U1630" s="24"/>
    </row>
    <row r="1631" s="25" customFormat="true" ht="45.6" hidden="false" customHeight="false" outlineLevel="0" collapsed="false">
      <c r="A1631" s="36" t="s">
        <v>3583</v>
      </c>
      <c r="B1631" s="26" t="s">
        <v>3584</v>
      </c>
      <c r="C1631" s="14" t="s">
        <v>515</v>
      </c>
      <c r="D1631" s="15" t="n">
        <v>12</v>
      </c>
      <c r="E1631" s="27" t="n">
        <f aca="false">F1631/2</f>
        <v>51000</v>
      </c>
      <c r="F1631" s="16" t="n">
        <f aca="false">120000*0.85</f>
        <v>102000</v>
      </c>
      <c r="G1631" s="15" t="s">
        <v>24</v>
      </c>
      <c r="H1631" s="17" t="s">
        <v>25</v>
      </c>
      <c r="I1631" s="18" t="s">
        <v>26</v>
      </c>
      <c r="J1631" s="15" t="n">
        <v>2012</v>
      </c>
      <c r="K1631" s="19" t="s">
        <v>27</v>
      </c>
      <c r="L1631" s="15" t="s">
        <v>28</v>
      </c>
      <c r="M1631" s="15" t="s">
        <v>33</v>
      </c>
      <c r="N1631" s="17" t="s">
        <v>53</v>
      </c>
      <c r="O1631" s="15"/>
      <c r="P1631" s="15"/>
      <c r="Q1631" s="21" t="s">
        <v>419</v>
      </c>
      <c r="R1631" s="21"/>
      <c r="S1631" s="21"/>
      <c r="T1631" s="31" t="n">
        <v>45846</v>
      </c>
      <c r="U1631" s="24" t="s">
        <v>3585</v>
      </c>
    </row>
    <row r="1632" s="25" customFormat="true" ht="41.4" hidden="false" customHeight="false" outlineLevel="0" collapsed="false">
      <c r="A1632" s="36" t="s">
        <v>3586</v>
      </c>
      <c r="B1632" s="26" t="s">
        <v>3587</v>
      </c>
      <c r="C1632" s="14" t="s">
        <v>157</v>
      </c>
      <c r="D1632" s="15" t="n">
        <v>4</v>
      </c>
      <c r="E1632" s="27" t="n">
        <f aca="false">F1632/2</f>
        <v>600</v>
      </c>
      <c r="F1632" s="16" t="n">
        <v>1200</v>
      </c>
      <c r="G1632" s="15" t="s">
        <v>36</v>
      </c>
      <c r="H1632" s="17" t="s">
        <v>25</v>
      </c>
      <c r="I1632" s="18" t="s">
        <v>26</v>
      </c>
      <c r="J1632" s="15" t="n">
        <v>2017</v>
      </c>
      <c r="K1632" s="19" t="s">
        <v>27</v>
      </c>
      <c r="L1632" s="15" t="s">
        <v>28</v>
      </c>
      <c r="M1632" s="15" t="s">
        <v>33</v>
      </c>
      <c r="N1632" s="17" t="s">
        <v>53</v>
      </c>
      <c r="O1632" s="15"/>
      <c r="P1632" s="15"/>
      <c r="Q1632" s="21"/>
      <c r="R1632" s="21"/>
      <c r="S1632" s="21"/>
      <c r="T1632" s="28"/>
      <c r="U1632" s="24"/>
    </row>
    <row r="1633" s="25" customFormat="true" ht="41.4" hidden="false" customHeight="false" outlineLevel="0" collapsed="false">
      <c r="A1633" s="36"/>
      <c r="B1633" s="26" t="s">
        <v>3588</v>
      </c>
      <c r="C1633" s="14" t="s">
        <v>1422</v>
      </c>
      <c r="D1633" s="15" t="n">
        <v>12</v>
      </c>
      <c r="E1633" s="27" t="n">
        <f aca="false">F1633/2</f>
        <v>2500</v>
      </c>
      <c r="F1633" s="16" t="n">
        <v>5000</v>
      </c>
      <c r="G1633" s="15" t="s">
        <v>24</v>
      </c>
      <c r="H1633" s="17" t="s">
        <v>25</v>
      </c>
      <c r="I1633" s="18" t="s">
        <v>26</v>
      </c>
      <c r="J1633" s="15" t="n">
        <v>2013</v>
      </c>
      <c r="K1633" s="19" t="s">
        <v>27</v>
      </c>
      <c r="L1633" s="15" t="s">
        <v>28</v>
      </c>
      <c r="M1633" s="15" t="s">
        <v>33</v>
      </c>
      <c r="N1633" s="17" t="s">
        <v>53</v>
      </c>
      <c r="O1633" s="15"/>
      <c r="P1633" s="15"/>
      <c r="Q1633" s="21" t="s">
        <v>55</v>
      </c>
      <c r="R1633" s="21"/>
      <c r="S1633" s="21"/>
      <c r="T1633" s="28"/>
      <c r="U1633" s="24"/>
    </row>
    <row r="1634" s="25" customFormat="true" ht="41.4" hidden="false" customHeight="false" outlineLevel="0" collapsed="false">
      <c r="A1634" s="36" t="s">
        <v>3589</v>
      </c>
      <c r="B1634" s="26"/>
      <c r="C1634" s="14" t="s">
        <v>1776</v>
      </c>
      <c r="D1634" s="15" t="n">
        <v>6</v>
      </c>
      <c r="E1634" s="27" t="n">
        <f aca="false">F1634/2</f>
        <v>18090</v>
      </c>
      <c r="F1634" s="16" t="n">
        <f aca="false">CEILING(30150*1.2,1)</f>
        <v>36180</v>
      </c>
      <c r="G1634" s="15" t="s">
        <v>36</v>
      </c>
      <c r="H1634" s="17" t="s">
        <v>25</v>
      </c>
      <c r="I1634" s="18" t="s">
        <v>26</v>
      </c>
      <c r="J1634" s="15" t="n">
        <v>2022</v>
      </c>
      <c r="K1634" s="19" t="s">
        <v>27</v>
      </c>
      <c r="L1634" s="15" t="s">
        <v>28</v>
      </c>
      <c r="M1634" s="15" t="s">
        <v>33</v>
      </c>
      <c r="N1634" s="20"/>
      <c r="O1634" s="15"/>
      <c r="P1634" s="15"/>
      <c r="Q1634" s="21"/>
      <c r="R1634" s="21"/>
      <c r="S1634" s="21"/>
      <c r="T1634" s="31" t="n">
        <v>45919</v>
      </c>
      <c r="U1634" s="24"/>
    </row>
    <row r="1635" s="25" customFormat="true" ht="41.4" hidden="false" customHeight="false" outlineLevel="0" collapsed="false">
      <c r="A1635" s="36" t="s">
        <v>3590</v>
      </c>
      <c r="B1635" s="26" t="s">
        <v>3591</v>
      </c>
      <c r="C1635" s="14"/>
      <c r="D1635" s="15" t="n">
        <v>24</v>
      </c>
      <c r="E1635" s="27" t="n">
        <f aca="false">F1635/2</f>
        <v>850</v>
      </c>
      <c r="F1635" s="16" t="n">
        <v>1700</v>
      </c>
      <c r="G1635" s="15" t="s">
        <v>354</v>
      </c>
      <c r="H1635" s="17" t="s">
        <v>25</v>
      </c>
      <c r="I1635" s="18" t="s">
        <v>26</v>
      </c>
      <c r="J1635" s="15" t="n">
        <v>2017</v>
      </c>
      <c r="K1635" s="19" t="s">
        <v>27</v>
      </c>
      <c r="L1635" s="15" t="s">
        <v>28</v>
      </c>
      <c r="M1635" s="15" t="s">
        <v>33</v>
      </c>
      <c r="N1635" s="17" t="s">
        <v>343</v>
      </c>
      <c r="O1635" s="15"/>
      <c r="P1635" s="15"/>
      <c r="Q1635" s="21" t="s">
        <v>344</v>
      </c>
      <c r="R1635" s="21"/>
      <c r="S1635" s="21"/>
      <c r="T1635" s="28"/>
      <c r="U1635" s="24"/>
    </row>
    <row r="1636" s="25" customFormat="true" ht="45.6" hidden="false" customHeight="false" outlineLevel="0" collapsed="false">
      <c r="A1636" s="36" t="s">
        <v>3592</v>
      </c>
      <c r="B1636" s="26" t="s">
        <v>3593</v>
      </c>
      <c r="C1636" s="14" t="s">
        <v>188</v>
      </c>
      <c r="D1636" s="15" t="n">
        <v>12</v>
      </c>
      <c r="E1636" s="27" t="n">
        <f aca="false">F1636/2</f>
        <v>42120</v>
      </c>
      <c r="F1636" s="16" t="n">
        <f aca="false">70200*1.2</f>
        <v>84240</v>
      </c>
      <c r="G1636" s="15" t="s">
        <v>36</v>
      </c>
      <c r="H1636" s="17" t="s">
        <v>25</v>
      </c>
      <c r="I1636" s="18" t="s">
        <v>26</v>
      </c>
      <c r="J1636" s="15" t="n">
        <v>2021</v>
      </c>
      <c r="K1636" s="19" t="s">
        <v>27</v>
      </c>
      <c r="L1636" s="15" t="s">
        <v>28</v>
      </c>
      <c r="M1636" s="15" t="s">
        <v>33</v>
      </c>
      <c r="N1636" s="20" t="s">
        <v>83</v>
      </c>
      <c r="O1636" s="15"/>
      <c r="P1636" s="15"/>
      <c r="Q1636" s="21"/>
      <c r="R1636" s="21"/>
      <c r="S1636" s="21"/>
      <c r="T1636" s="28"/>
      <c r="U1636" s="24" t="s">
        <v>3594</v>
      </c>
    </row>
    <row r="1637" s="25" customFormat="true" ht="41.4" hidden="false" customHeight="false" outlineLevel="0" collapsed="false">
      <c r="A1637" s="36" t="s">
        <v>3595</v>
      </c>
      <c r="B1637" s="26" t="s">
        <v>3596</v>
      </c>
      <c r="C1637" s="14"/>
      <c r="D1637" s="15" t="n">
        <v>4</v>
      </c>
      <c r="E1637" s="27" t="n">
        <f aca="false">F1637/2</f>
        <v>50</v>
      </c>
      <c r="F1637" s="16" t="n">
        <v>100</v>
      </c>
      <c r="G1637" s="15" t="s">
        <v>354</v>
      </c>
      <c r="H1637" s="17" t="s">
        <v>25</v>
      </c>
      <c r="I1637" s="18" t="s">
        <v>26</v>
      </c>
      <c r="J1637" s="15" t="n">
        <v>2014</v>
      </c>
      <c r="K1637" s="19" t="s">
        <v>27</v>
      </c>
      <c r="L1637" s="15" t="s">
        <v>28</v>
      </c>
      <c r="M1637" s="15" t="s">
        <v>33</v>
      </c>
      <c r="N1637" s="17" t="s">
        <v>167</v>
      </c>
      <c r="O1637" s="15" t="s">
        <v>54</v>
      </c>
      <c r="P1637" s="15"/>
      <c r="Q1637" s="21" t="s">
        <v>168</v>
      </c>
      <c r="R1637" s="21"/>
      <c r="S1637" s="21"/>
      <c r="T1637" s="28"/>
      <c r="U1637" s="24"/>
    </row>
    <row r="1638" s="25" customFormat="true" ht="41.4" hidden="false" customHeight="false" outlineLevel="0" collapsed="false">
      <c r="A1638" s="36" t="s">
        <v>3597</v>
      </c>
      <c r="B1638" s="26" t="s">
        <v>3598</v>
      </c>
      <c r="C1638" s="14" t="s">
        <v>3599</v>
      </c>
      <c r="D1638" s="15" t="n">
        <v>48</v>
      </c>
      <c r="E1638" s="27" t="n">
        <f aca="false">F1638/2</f>
        <v>5000</v>
      </c>
      <c r="F1638" s="16" t="n">
        <f aca="false">10000</f>
        <v>10000</v>
      </c>
      <c r="G1638" s="15" t="s">
        <v>24</v>
      </c>
      <c r="H1638" s="17" t="s">
        <v>25</v>
      </c>
      <c r="I1638" s="18" t="s">
        <v>26</v>
      </c>
      <c r="J1638" s="15" t="n">
        <v>1998</v>
      </c>
      <c r="K1638" s="19" t="s">
        <v>27</v>
      </c>
      <c r="L1638" s="15" t="s">
        <v>28</v>
      </c>
      <c r="M1638" s="15" t="s">
        <v>33</v>
      </c>
      <c r="N1638" s="17" t="s">
        <v>343</v>
      </c>
      <c r="O1638" s="15"/>
      <c r="P1638" s="15"/>
      <c r="Q1638" s="21" t="s">
        <v>344</v>
      </c>
      <c r="R1638" s="21"/>
      <c r="S1638" s="21"/>
      <c r="T1638" s="28"/>
      <c r="U1638" s="24" t="s">
        <v>3600</v>
      </c>
    </row>
    <row r="1639" s="25" customFormat="true" ht="41.4" hidden="false" customHeight="false" outlineLevel="0" collapsed="false">
      <c r="A1639" s="36" t="s">
        <v>3601</v>
      </c>
      <c r="B1639" s="26" t="s">
        <v>3602</v>
      </c>
      <c r="C1639" s="14" t="s">
        <v>465</v>
      </c>
      <c r="D1639" s="15" t="n">
        <v>12</v>
      </c>
      <c r="E1639" s="27" t="n">
        <f aca="false">F1639/2</f>
        <v>32271</v>
      </c>
      <c r="F1639" s="16" t="n">
        <v>64542</v>
      </c>
      <c r="G1639" s="15" t="s">
        <v>36</v>
      </c>
      <c r="H1639" s="17" t="s">
        <v>25</v>
      </c>
      <c r="I1639" s="18" t="s">
        <v>26</v>
      </c>
      <c r="J1639" s="15" t="n">
        <v>2021</v>
      </c>
      <c r="K1639" s="19" t="s">
        <v>27</v>
      </c>
      <c r="L1639" s="15" t="s">
        <v>28</v>
      </c>
      <c r="M1639" s="15" t="s">
        <v>33</v>
      </c>
      <c r="N1639" s="20" t="s">
        <v>397</v>
      </c>
      <c r="O1639" s="15"/>
      <c r="P1639" s="15"/>
      <c r="Q1639" s="21"/>
      <c r="R1639" s="21"/>
      <c r="S1639" s="21"/>
      <c r="T1639" s="31" t="n">
        <v>45859</v>
      </c>
      <c r="U1639" s="24"/>
    </row>
    <row r="1640" s="25" customFormat="true" ht="41.4" hidden="false" customHeight="false" outlineLevel="0" collapsed="false">
      <c r="A1640" s="36" t="s">
        <v>3603</v>
      </c>
      <c r="B1640" s="26" t="s">
        <v>3604</v>
      </c>
      <c r="C1640" s="14" t="s">
        <v>739</v>
      </c>
      <c r="D1640" s="15" t="n">
        <v>12</v>
      </c>
      <c r="E1640" s="27" t="n">
        <f aca="false">F1640/2</f>
        <v>18000</v>
      </c>
      <c r="F1640" s="16" t="n">
        <f aca="false">12*3000</f>
        <v>36000</v>
      </c>
      <c r="G1640" s="15" t="s">
        <v>36</v>
      </c>
      <c r="H1640" s="17" t="s">
        <v>25</v>
      </c>
      <c r="I1640" s="18" t="s">
        <v>26</v>
      </c>
      <c r="J1640" s="15" t="n">
        <v>2020</v>
      </c>
      <c r="K1640" s="19" t="s">
        <v>27</v>
      </c>
      <c r="L1640" s="15" t="s">
        <v>28</v>
      </c>
      <c r="M1640" s="15" t="s">
        <v>33</v>
      </c>
      <c r="N1640" s="20" t="s">
        <v>397</v>
      </c>
      <c r="O1640" s="15"/>
      <c r="P1640" s="15"/>
      <c r="Q1640" s="21"/>
      <c r="R1640" s="21"/>
      <c r="S1640" s="21"/>
      <c r="T1640" s="31" t="n">
        <v>45862</v>
      </c>
      <c r="U1640" s="24"/>
    </row>
    <row r="1641" s="25" customFormat="true" ht="41.4" hidden="false" customHeight="false" outlineLevel="0" collapsed="false">
      <c r="A1641" s="36" t="s">
        <v>3605</v>
      </c>
      <c r="B1641" s="26" t="s">
        <v>3606</v>
      </c>
      <c r="C1641" s="14" t="s">
        <v>335</v>
      </c>
      <c r="D1641" s="15" t="n">
        <v>6</v>
      </c>
      <c r="E1641" s="27" t="n">
        <f aca="false">F1641/2</f>
        <v>23400</v>
      </c>
      <c r="F1641" s="16" t="n">
        <f aca="false">6*7800</f>
        <v>46800</v>
      </c>
      <c r="G1641" s="15" t="s">
        <v>36</v>
      </c>
      <c r="H1641" s="17" t="s">
        <v>25</v>
      </c>
      <c r="I1641" s="18" t="s">
        <v>26</v>
      </c>
      <c r="J1641" s="15" t="n">
        <v>2020</v>
      </c>
      <c r="K1641" s="19" t="s">
        <v>27</v>
      </c>
      <c r="L1641" s="15" t="s">
        <v>28</v>
      </c>
      <c r="M1641" s="15" t="s">
        <v>33</v>
      </c>
      <c r="N1641" s="20"/>
      <c r="O1641" s="15" t="s">
        <v>46</v>
      </c>
      <c r="P1641" s="15"/>
      <c r="Q1641" s="21"/>
      <c r="R1641" s="21"/>
      <c r="S1641" s="21"/>
      <c r="T1641" s="28"/>
      <c r="U1641" s="24"/>
    </row>
    <row r="1642" s="25" customFormat="true" ht="41.4" hidden="false" customHeight="false" outlineLevel="0" collapsed="false">
      <c r="A1642" s="36" t="s">
        <v>3607</v>
      </c>
      <c r="B1642" s="26" t="s">
        <v>3608</v>
      </c>
      <c r="C1642" s="14" t="s">
        <v>1065</v>
      </c>
      <c r="D1642" s="15" t="n">
        <v>12</v>
      </c>
      <c r="E1642" s="27" t="n">
        <f aca="false">F1642/2</f>
        <v>60480</v>
      </c>
      <c r="F1642" s="16" t="n">
        <f aca="false">115200*1.05</f>
        <v>120960</v>
      </c>
      <c r="G1642" s="15" t="s">
        <v>36</v>
      </c>
      <c r="H1642" s="17" t="s">
        <v>25</v>
      </c>
      <c r="I1642" s="18" t="s">
        <v>26</v>
      </c>
      <c r="J1642" s="15" t="n">
        <v>2017</v>
      </c>
      <c r="K1642" s="19" t="s">
        <v>27</v>
      </c>
      <c r="L1642" s="15" t="s">
        <v>28</v>
      </c>
      <c r="M1642" s="15" t="s">
        <v>33</v>
      </c>
      <c r="N1642" s="17"/>
      <c r="O1642" s="15"/>
      <c r="P1642" s="15"/>
      <c r="Q1642" s="21" t="s">
        <v>78</v>
      </c>
      <c r="R1642" s="21"/>
      <c r="S1642" s="21"/>
      <c r="T1642" s="31" t="n">
        <v>45856</v>
      </c>
      <c r="U1642" s="24"/>
      <c r="V1642" s="37"/>
      <c r="W1642" s="37"/>
    </row>
    <row r="1643" s="25" customFormat="true" ht="41.4" hidden="false" customHeight="false" outlineLevel="0" collapsed="false">
      <c r="A1643" s="36" t="s">
        <v>3609</v>
      </c>
      <c r="B1643" s="26" t="s">
        <v>3610</v>
      </c>
      <c r="C1643" s="14"/>
      <c r="D1643" s="15" t="n">
        <v>10</v>
      </c>
      <c r="E1643" s="27" t="n">
        <f aca="false">F1643/2</f>
        <v>9460</v>
      </c>
      <c r="F1643" s="16" t="n">
        <v>18920</v>
      </c>
      <c r="G1643" s="15" t="s">
        <v>36</v>
      </c>
      <c r="H1643" s="17" t="s">
        <v>25</v>
      </c>
      <c r="I1643" s="18" t="s">
        <v>26</v>
      </c>
      <c r="J1643" s="15" t="n">
        <v>2019</v>
      </c>
      <c r="K1643" s="19"/>
      <c r="L1643" s="15" t="s">
        <v>28</v>
      </c>
      <c r="M1643" s="15" t="s">
        <v>33</v>
      </c>
      <c r="N1643" s="17"/>
      <c r="O1643" s="15"/>
      <c r="P1643" s="15"/>
      <c r="Q1643" s="21"/>
      <c r="R1643" s="21"/>
      <c r="S1643" s="21"/>
      <c r="T1643" s="28"/>
      <c r="U1643" s="24"/>
    </row>
    <row r="1644" s="25" customFormat="true" ht="41.4" hidden="false" customHeight="false" outlineLevel="0" collapsed="false">
      <c r="A1644" s="36" t="s">
        <v>3611</v>
      </c>
      <c r="B1644" s="26"/>
      <c r="C1644" s="14" t="s">
        <v>1340</v>
      </c>
      <c r="D1644" s="15" t="n">
        <v>12</v>
      </c>
      <c r="E1644" s="27" t="n">
        <f aca="false">F1644/2</f>
        <v>2160</v>
      </c>
      <c r="F1644" s="16" t="n">
        <f aca="false">3600*1.2</f>
        <v>4320</v>
      </c>
      <c r="G1644" s="15" t="s">
        <v>36</v>
      </c>
      <c r="H1644" s="17" t="s">
        <v>25</v>
      </c>
      <c r="I1644" s="18" t="s">
        <v>26</v>
      </c>
      <c r="J1644" s="15" t="n">
        <v>2025</v>
      </c>
      <c r="K1644" s="19" t="s">
        <v>27</v>
      </c>
      <c r="L1644" s="15" t="s">
        <v>28</v>
      </c>
      <c r="M1644" s="15" t="s">
        <v>33</v>
      </c>
      <c r="N1644" s="17"/>
      <c r="O1644" s="15"/>
      <c r="P1644" s="15"/>
      <c r="Q1644" s="21"/>
      <c r="R1644" s="21"/>
      <c r="S1644" s="21"/>
      <c r="T1644" s="28"/>
      <c r="U1644" s="24"/>
    </row>
    <row r="1645" s="25" customFormat="true" ht="41.4" hidden="false" customHeight="false" outlineLevel="0" collapsed="false">
      <c r="A1645" s="63" t="s">
        <v>3612</v>
      </c>
      <c r="B1645" s="26" t="s">
        <v>3613</v>
      </c>
      <c r="C1645" s="14" t="s">
        <v>264</v>
      </c>
      <c r="D1645" s="30" t="n">
        <v>12</v>
      </c>
      <c r="E1645" s="16" t="n">
        <f aca="false">F1645/2</f>
        <v>71245.44</v>
      </c>
      <c r="F1645" s="16" t="n">
        <f aca="false">153216*0.93</f>
        <v>142490.88</v>
      </c>
      <c r="G1645" s="15" t="s">
        <v>36</v>
      </c>
      <c r="H1645" s="17" t="s">
        <v>25</v>
      </c>
      <c r="I1645" s="18" t="s">
        <v>26</v>
      </c>
      <c r="J1645" s="15" t="n">
        <v>2024</v>
      </c>
      <c r="K1645" s="19" t="s">
        <v>27</v>
      </c>
      <c r="L1645" s="15" t="s">
        <v>28</v>
      </c>
      <c r="M1645" s="15" t="s">
        <v>33</v>
      </c>
      <c r="N1645" s="30"/>
      <c r="O1645" s="60"/>
      <c r="P1645" s="60"/>
      <c r="Q1645" s="21"/>
      <c r="R1645" s="21"/>
      <c r="S1645" s="40"/>
      <c r="T1645" s="31" t="n">
        <v>45880</v>
      </c>
      <c r="U1645" s="24"/>
    </row>
    <row r="1646" s="25" customFormat="true" ht="69" hidden="false" customHeight="false" outlineLevel="0" collapsed="false">
      <c r="A1646" s="36" t="s">
        <v>3614</v>
      </c>
      <c r="B1646" s="26" t="s">
        <v>3615</v>
      </c>
      <c r="C1646" s="14" t="s">
        <v>1332</v>
      </c>
      <c r="D1646" s="15" t="n">
        <v>4</v>
      </c>
      <c r="E1646" s="27" t="n">
        <v>50</v>
      </c>
      <c r="F1646" s="16" t="n">
        <v>100</v>
      </c>
      <c r="G1646" s="15" t="s">
        <v>36</v>
      </c>
      <c r="H1646" s="17" t="s">
        <v>25</v>
      </c>
      <c r="I1646" s="18" t="s">
        <v>26</v>
      </c>
      <c r="J1646" s="15" t="n">
        <v>2021</v>
      </c>
      <c r="K1646" s="19" t="s">
        <v>1333</v>
      </c>
      <c r="L1646" s="15" t="s">
        <v>28</v>
      </c>
      <c r="M1646" s="15" t="s">
        <v>33</v>
      </c>
      <c r="N1646" s="20"/>
      <c r="O1646" s="15"/>
      <c r="P1646" s="15"/>
      <c r="Q1646" s="21"/>
      <c r="R1646" s="21"/>
      <c r="S1646" s="21"/>
      <c r="T1646" s="28"/>
      <c r="U1646" s="24"/>
    </row>
    <row r="1647" s="25" customFormat="true" ht="41.4" hidden="false" customHeight="false" outlineLevel="0" collapsed="false">
      <c r="A1647" s="36" t="s">
        <v>3616</v>
      </c>
      <c r="B1647" s="26" t="s">
        <v>3617</v>
      </c>
      <c r="C1647" s="14" t="s">
        <v>246</v>
      </c>
      <c r="D1647" s="15" t="n">
        <v>12</v>
      </c>
      <c r="E1647" s="27" t="n">
        <f aca="false">F1647/2</f>
        <v>25640</v>
      </c>
      <c r="F1647" s="38" t="n">
        <v>51280</v>
      </c>
      <c r="G1647" s="15" t="s">
        <v>36</v>
      </c>
      <c r="H1647" s="17" t="s">
        <v>25</v>
      </c>
      <c r="I1647" s="18" t="s">
        <v>26</v>
      </c>
      <c r="J1647" s="15" t="n">
        <v>2017</v>
      </c>
      <c r="K1647" s="19" t="s">
        <v>27</v>
      </c>
      <c r="L1647" s="15" t="s">
        <v>28</v>
      </c>
      <c r="M1647" s="15" t="s">
        <v>33</v>
      </c>
      <c r="N1647" s="20" t="s">
        <v>87</v>
      </c>
      <c r="O1647" s="15"/>
      <c r="P1647" s="15"/>
      <c r="Q1647" s="21" t="s">
        <v>247</v>
      </c>
      <c r="R1647" s="21"/>
      <c r="S1647" s="21"/>
      <c r="T1647" s="31" t="n">
        <v>45882</v>
      </c>
      <c r="U1647" s="24" t="s">
        <v>248</v>
      </c>
    </row>
    <row r="1648" s="25" customFormat="true" ht="41.4" hidden="false" customHeight="false" outlineLevel="0" collapsed="false">
      <c r="A1648" s="64" t="s">
        <v>3618</v>
      </c>
      <c r="B1648" s="26"/>
      <c r="C1648" s="14" t="s">
        <v>264</v>
      </c>
      <c r="D1648" s="30" t="n">
        <v>12</v>
      </c>
      <c r="E1648" s="16" t="n">
        <f aca="false">F1648/2</f>
        <v>71245.44</v>
      </c>
      <c r="F1648" s="16" t="n">
        <f aca="false">153216*0.93</f>
        <v>142490.88</v>
      </c>
      <c r="G1648" s="15" t="s">
        <v>36</v>
      </c>
      <c r="H1648" s="17" t="s">
        <v>25</v>
      </c>
      <c r="I1648" s="18" t="s">
        <v>26</v>
      </c>
      <c r="J1648" s="15" t="n">
        <v>2024</v>
      </c>
      <c r="K1648" s="19" t="s">
        <v>27</v>
      </c>
      <c r="L1648" s="15" t="s">
        <v>28</v>
      </c>
      <c r="M1648" s="15" t="s">
        <v>33</v>
      </c>
      <c r="N1648" s="30"/>
      <c r="O1648" s="60"/>
      <c r="P1648" s="60"/>
      <c r="Q1648" s="21"/>
      <c r="R1648" s="21"/>
      <c r="S1648" s="40"/>
      <c r="T1648" s="31" t="n">
        <v>45880</v>
      </c>
      <c r="U1648" s="24"/>
    </row>
    <row r="1649" s="25" customFormat="true" ht="41.4" hidden="false" customHeight="false" outlineLevel="0" collapsed="false">
      <c r="A1649" s="36" t="s">
        <v>3619</v>
      </c>
      <c r="B1649" s="26" t="s">
        <v>3620</v>
      </c>
      <c r="C1649" s="14" t="s">
        <v>3621</v>
      </c>
      <c r="D1649" s="15" t="n">
        <v>4</v>
      </c>
      <c r="E1649" s="27" t="n">
        <f aca="false">F1649/2</f>
        <v>50</v>
      </c>
      <c r="F1649" s="16" t="n">
        <v>100</v>
      </c>
      <c r="G1649" s="15" t="s">
        <v>36</v>
      </c>
      <c r="H1649" s="17" t="s">
        <v>25</v>
      </c>
      <c r="I1649" s="18" t="s">
        <v>26</v>
      </c>
      <c r="J1649" s="15" t="n">
        <v>2021</v>
      </c>
      <c r="K1649" s="19" t="s">
        <v>27</v>
      </c>
      <c r="L1649" s="15" t="s">
        <v>28</v>
      </c>
      <c r="M1649" s="15" t="s">
        <v>33</v>
      </c>
      <c r="N1649" s="20" t="s">
        <v>83</v>
      </c>
      <c r="O1649" s="15"/>
      <c r="P1649" s="15"/>
      <c r="Q1649" s="21"/>
      <c r="R1649" s="21"/>
      <c r="S1649" s="21"/>
      <c r="T1649" s="28"/>
      <c r="U1649" s="24"/>
    </row>
    <row r="1650" s="25" customFormat="true" ht="41.4" hidden="false" customHeight="false" outlineLevel="0" collapsed="false">
      <c r="A1650" s="36" t="s">
        <v>3622</v>
      </c>
      <c r="B1650" s="26" t="s">
        <v>3623</v>
      </c>
      <c r="C1650" s="14" t="s">
        <v>307</v>
      </c>
      <c r="D1650" s="15" t="n">
        <v>4</v>
      </c>
      <c r="E1650" s="27" t="n">
        <f aca="false">F1650/2</f>
        <v>50</v>
      </c>
      <c r="F1650" s="16" t="n">
        <v>100</v>
      </c>
      <c r="G1650" s="15" t="s">
        <v>36</v>
      </c>
      <c r="H1650" s="17" t="s">
        <v>25</v>
      </c>
      <c r="I1650" s="18" t="s">
        <v>26</v>
      </c>
      <c r="J1650" s="15" t="n">
        <v>2019</v>
      </c>
      <c r="K1650" s="19" t="s">
        <v>27</v>
      </c>
      <c r="L1650" s="15" t="s">
        <v>28</v>
      </c>
      <c r="M1650" s="15" t="s">
        <v>33</v>
      </c>
      <c r="N1650" s="17" t="s">
        <v>83</v>
      </c>
      <c r="O1650" s="15"/>
      <c r="P1650" s="15"/>
      <c r="Q1650" s="21"/>
      <c r="R1650" s="21"/>
      <c r="S1650" s="21"/>
      <c r="T1650" s="28"/>
      <c r="U1650" s="24"/>
    </row>
    <row r="1651" s="25" customFormat="true" ht="41.4" hidden="false" customHeight="false" outlineLevel="0" collapsed="false">
      <c r="A1651" s="36" t="s">
        <v>3624</v>
      </c>
      <c r="B1651" s="26" t="s">
        <v>1781</v>
      </c>
      <c r="C1651" s="14" t="s">
        <v>148</v>
      </c>
      <c r="D1651" s="15" t="n">
        <v>6</v>
      </c>
      <c r="E1651" s="27" t="n">
        <f aca="false">F1651/2</f>
        <v>2408</v>
      </c>
      <c r="F1651" s="35" t="n">
        <f aca="false">FLOOR(4014*1.2,1)</f>
        <v>4816</v>
      </c>
      <c r="G1651" s="15" t="s">
        <v>36</v>
      </c>
      <c r="H1651" s="17" t="s">
        <v>25</v>
      </c>
      <c r="I1651" s="18" t="s">
        <v>26</v>
      </c>
      <c r="J1651" s="15" t="n">
        <v>2020</v>
      </c>
      <c r="K1651" s="19" t="s">
        <v>27</v>
      </c>
      <c r="L1651" s="15" t="s">
        <v>28</v>
      </c>
      <c r="M1651" s="15" t="s">
        <v>33</v>
      </c>
      <c r="N1651" s="17" t="s">
        <v>83</v>
      </c>
      <c r="O1651" s="15"/>
      <c r="P1651" s="15"/>
      <c r="Q1651" s="21"/>
      <c r="R1651" s="21"/>
      <c r="S1651" s="21"/>
      <c r="T1651" s="31" t="n">
        <v>45882</v>
      </c>
      <c r="U1651" s="24"/>
    </row>
    <row r="1652" s="25" customFormat="true" ht="41.4" hidden="false" customHeight="false" outlineLevel="0" collapsed="false">
      <c r="A1652" s="36" t="s">
        <v>3625</v>
      </c>
      <c r="B1652" s="26" t="s">
        <v>3626</v>
      </c>
      <c r="C1652" s="14" t="s">
        <v>465</v>
      </c>
      <c r="D1652" s="15" t="n">
        <v>12</v>
      </c>
      <c r="E1652" s="27" t="n">
        <f aca="false">F1652/2</f>
        <v>26568</v>
      </c>
      <c r="F1652" s="16" t="n">
        <v>53136</v>
      </c>
      <c r="G1652" s="15" t="s">
        <v>36</v>
      </c>
      <c r="H1652" s="17" t="s">
        <v>25</v>
      </c>
      <c r="I1652" s="18" t="s">
        <v>26</v>
      </c>
      <c r="J1652" s="15" t="n">
        <v>2021</v>
      </c>
      <c r="K1652" s="19" t="s">
        <v>27</v>
      </c>
      <c r="L1652" s="15" t="s">
        <v>28</v>
      </c>
      <c r="M1652" s="15" t="s">
        <v>33</v>
      </c>
      <c r="N1652" s="20" t="s">
        <v>397</v>
      </c>
      <c r="O1652" s="15"/>
      <c r="P1652" s="15"/>
      <c r="Q1652" s="21"/>
      <c r="R1652" s="21"/>
      <c r="S1652" s="21"/>
      <c r="T1652" s="31" t="n">
        <v>45859</v>
      </c>
      <c r="U1652" s="24"/>
    </row>
    <row r="1653" s="25" customFormat="true" ht="41.4" hidden="false" customHeight="false" outlineLevel="0" collapsed="false">
      <c r="A1653" s="36" t="s">
        <v>3627</v>
      </c>
      <c r="B1653" s="26" t="s">
        <v>3628</v>
      </c>
      <c r="C1653" s="14" t="s">
        <v>465</v>
      </c>
      <c r="D1653" s="15" t="n">
        <v>6</v>
      </c>
      <c r="E1653" s="27" t="n">
        <f aca="false">F1653/2</f>
        <v>7042</v>
      </c>
      <c r="F1653" s="16" t="n">
        <v>14084</v>
      </c>
      <c r="G1653" s="15" t="s">
        <v>36</v>
      </c>
      <c r="H1653" s="17" t="s">
        <v>25</v>
      </c>
      <c r="I1653" s="18" t="s">
        <v>26</v>
      </c>
      <c r="J1653" s="15" t="n">
        <v>2021</v>
      </c>
      <c r="K1653" s="19" t="s">
        <v>27</v>
      </c>
      <c r="L1653" s="15" t="s">
        <v>28</v>
      </c>
      <c r="M1653" s="15" t="s">
        <v>33</v>
      </c>
      <c r="N1653" s="20" t="s">
        <v>397</v>
      </c>
      <c r="O1653" s="15"/>
      <c r="P1653" s="15"/>
      <c r="Q1653" s="21"/>
      <c r="R1653" s="21"/>
      <c r="S1653" s="21"/>
      <c r="T1653" s="31" t="n">
        <v>45859</v>
      </c>
      <c r="U1653" s="24"/>
    </row>
    <row r="1654" s="25" customFormat="true" ht="41.4" hidden="false" customHeight="false" outlineLevel="0" collapsed="false">
      <c r="A1654" s="36" t="s">
        <v>3629</v>
      </c>
      <c r="B1654" s="26" t="s">
        <v>3630</v>
      </c>
      <c r="C1654" s="14" t="s">
        <v>3631</v>
      </c>
      <c r="D1654" s="15" t="n">
        <v>18</v>
      </c>
      <c r="E1654" s="27" t="n">
        <f aca="false">F1654/2</f>
        <v>2970</v>
      </c>
      <c r="F1654" s="16" t="n">
        <v>5940</v>
      </c>
      <c r="G1654" s="15" t="s">
        <v>36</v>
      </c>
      <c r="H1654" s="17" t="s">
        <v>25</v>
      </c>
      <c r="I1654" s="18" t="s">
        <v>26</v>
      </c>
      <c r="J1654" s="15" t="n">
        <v>2020</v>
      </c>
      <c r="K1654" s="19" t="s">
        <v>27</v>
      </c>
      <c r="L1654" s="15" t="s">
        <v>103</v>
      </c>
      <c r="M1654" s="15" t="s">
        <v>33</v>
      </c>
      <c r="N1654" s="17" t="s">
        <v>397</v>
      </c>
      <c r="O1654" s="15"/>
      <c r="P1654" s="15"/>
      <c r="Q1654" s="21"/>
      <c r="R1654" s="21"/>
      <c r="S1654" s="21"/>
      <c r="T1654" s="28"/>
      <c r="U1654" s="24"/>
    </row>
    <row r="1655" s="25" customFormat="true" ht="41.4" hidden="false" customHeight="false" outlineLevel="0" collapsed="false">
      <c r="A1655" s="36" t="s">
        <v>3632</v>
      </c>
      <c r="B1655" s="26"/>
      <c r="C1655" s="14" t="s">
        <v>1992</v>
      </c>
      <c r="D1655" s="15" t="n">
        <v>6</v>
      </c>
      <c r="E1655" s="16" t="n">
        <f aca="false">F1655/2</f>
        <v>50</v>
      </c>
      <c r="F1655" s="16" t="n">
        <v>100</v>
      </c>
      <c r="G1655" s="15" t="s">
        <v>36</v>
      </c>
      <c r="H1655" s="17" t="s">
        <v>25</v>
      </c>
      <c r="I1655" s="18" t="s">
        <v>26</v>
      </c>
      <c r="J1655" s="15" t="n">
        <v>2025</v>
      </c>
      <c r="K1655" s="19" t="s">
        <v>1325</v>
      </c>
      <c r="L1655" s="15" t="s">
        <v>28</v>
      </c>
      <c r="M1655" s="15" t="s">
        <v>33</v>
      </c>
      <c r="N1655" s="17"/>
      <c r="O1655" s="15"/>
      <c r="P1655" s="15"/>
      <c r="Q1655" s="21"/>
      <c r="R1655" s="21"/>
      <c r="S1655" s="21" t="s">
        <v>113</v>
      </c>
      <c r="T1655" s="31" t="n">
        <v>45855</v>
      </c>
      <c r="U1655" s="24"/>
    </row>
    <row r="1656" s="25" customFormat="true" ht="41.4" hidden="false" customHeight="false" outlineLevel="0" collapsed="false">
      <c r="A1656" s="36" t="s">
        <v>3633</v>
      </c>
      <c r="B1656" s="26"/>
      <c r="C1656" s="14" t="s">
        <v>3634</v>
      </c>
      <c r="D1656" s="15" t="n">
        <v>12</v>
      </c>
      <c r="E1656" s="27" t="n">
        <f aca="false">F1656/2</f>
        <v>8580</v>
      </c>
      <c r="F1656" s="16" t="n">
        <v>17160</v>
      </c>
      <c r="G1656" s="15" t="s">
        <v>36</v>
      </c>
      <c r="H1656" s="17" t="s">
        <v>25</v>
      </c>
      <c r="I1656" s="18" t="s">
        <v>26</v>
      </c>
      <c r="J1656" s="15" t="n">
        <v>2023</v>
      </c>
      <c r="K1656" s="19" t="s">
        <v>1456</v>
      </c>
      <c r="L1656" s="15" t="s">
        <v>28</v>
      </c>
      <c r="M1656" s="15" t="s">
        <v>33</v>
      </c>
      <c r="N1656" s="17" t="s">
        <v>397</v>
      </c>
      <c r="O1656" s="15"/>
      <c r="P1656" s="15"/>
      <c r="Q1656" s="21"/>
      <c r="R1656" s="21"/>
      <c r="S1656" s="21"/>
      <c r="T1656" s="28"/>
      <c r="U1656" s="24"/>
    </row>
    <row r="1657" s="25" customFormat="true" ht="41.4" hidden="false" customHeight="false" outlineLevel="0" collapsed="false">
      <c r="A1657" s="36" t="s">
        <v>3635</v>
      </c>
      <c r="B1657" s="26" t="s">
        <v>3636</v>
      </c>
      <c r="C1657" s="14" t="s">
        <v>1070</v>
      </c>
      <c r="D1657" s="15" t="n">
        <v>12</v>
      </c>
      <c r="E1657" s="27" t="n">
        <f aca="false">F1657/2</f>
        <v>9334</v>
      </c>
      <c r="F1657" s="16" t="n">
        <v>18668</v>
      </c>
      <c r="G1657" s="15" t="s">
        <v>24</v>
      </c>
      <c r="H1657" s="17" t="s">
        <v>25</v>
      </c>
      <c r="I1657" s="18" t="s">
        <v>26</v>
      </c>
      <c r="J1657" s="15" t="n">
        <v>2017</v>
      </c>
      <c r="K1657" s="19" t="s">
        <v>27</v>
      </c>
      <c r="L1657" s="15" t="s">
        <v>28</v>
      </c>
      <c r="M1657" s="15" t="s">
        <v>33</v>
      </c>
      <c r="N1657" s="17" t="s">
        <v>397</v>
      </c>
      <c r="O1657" s="61"/>
      <c r="P1657" s="15"/>
      <c r="Q1657" s="21" t="s">
        <v>247</v>
      </c>
      <c r="R1657" s="21"/>
      <c r="S1657" s="21"/>
      <c r="T1657" s="31" t="n">
        <v>45909</v>
      </c>
      <c r="U1657" s="24"/>
    </row>
    <row r="1658" s="25" customFormat="true" ht="41.4" hidden="false" customHeight="false" outlineLevel="0" collapsed="false">
      <c r="A1658" s="36" t="s">
        <v>3637</v>
      </c>
      <c r="B1658" s="26" t="s">
        <v>3638</v>
      </c>
      <c r="C1658" s="14" t="s">
        <v>122</v>
      </c>
      <c r="D1658" s="15" t="n">
        <v>12</v>
      </c>
      <c r="E1658" s="27" t="n">
        <v>23628</v>
      </c>
      <c r="F1658" s="16" t="n">
        <v>39204</v>
      </c>
      <c r="G1658" s="15" t="s">
        <v>36</v>
      </c>
      <c r="H1658" s="17" t="s">
        <v>25</v>
      </c>
      <c r="I1658" s="18" t="s">
        <v>26</v>
      </c>
      <c r="J1658" s="15" t="n">
        <v>2017</v>
      </c>
      <c r="K1658" s="19" t="s">
        <v>27</v>
      </c>
      <c r="L1658" s="15" t="s">
        <v>28</v>
      </c>
      <c r="M1658" s="15" t="s">
        <v>33</v>
      </c>
      <c r="N1658" s="17" t="s">
        <v>397</v>
      </c>
      <c r="O1658" s="15"/>
      <c r="P1658" s="15"/>
      <c r="Q1658" s="21"/>
      <c r="R1658" s="21"/>
      <c r="S1658" s="21"/>
      <c r="T1658" s="28"/>
      <c r="U1658" s="24"/>
    </row>
    <row r="1659" s="25" customFormat="true" ht="41.4" hidden="false" customHeight="false" outlineLevel="0" collapsed="false">
      <c r="A1659" s="36" t="s">
        <v>3639</v>
      </c>
      <c r="B1659" s="26" t="s">
        <v>3640</v>
      </c>
      <c r="C1659" s="14"/>
      <c r="D1659" s="15" t="n">
        <v>8</v>
      </c>
      <c r="E1659" s="27" t="n">
        <f aca="false">F1659/2</f>
        <v>1760</v>
      </c>
      <c r="F1659" s="16" t="n">
        <v>3520</v>
      </c>
      <c r="G1659" s="15" t="s">
        <v>354</v>
      </c>
      <c r="H1659" s="17" t="s">
        <v>25</v>
      </c>
      <c r="I1659" s="18" t="s">
        <v>26</v>
      </c>
      <c r="J1659" s="15" t="n">
        <v>2017</v>
      </c>
      <c r="K1659" s="19" t="s">
        <v>27</v>
      </c>
      <c r="L1659" s="15" t="s">
        <v>28</v>
      </c>
      <c r="M1659" s="15" t="s">
        <v>33</v>
      </c>
      <c r="N1659" s="17" t="s">
        <v>397</v>
      </c>
      <c r="O1659" s="15"/>
      <c r="P1659" s="15"/>
      <c r="Q1659" s="21" t="s">
        <v>78</v>
      </c>
      <c r="R1659" s="21"/>
      <c r="S1659" s="21"/>
      <c r="T1659" s="28"/>
      <c r="U1659" s="24"/>
    </row>
    <row r="1660" s="25" customFormat="true" ht="41.4" hidden="false" customHeight="false" outlineLevel="0" collapsed="false">
      <c r="A1660" s="36" t="s">
        <v>3641</v>
      </c>
      <c r="B1660" s="26" t="s">
        <v>3642</v>
      </c>
      <c r="C1660" s="14" t="s">
        <v>3643</v>
      </c>
      <c r="D1660" s="15" t="n">
        <v>6</v>
      </c>
      <c r="E1660" s="27" t="n">
        <f aca="false">F1660/2</f>
        <v>1980</v>
      </c>
      <c r="F1660" s="16" t="n">
        <v>3960</v>
      </c>
      <c r="G1660" s="15" t="s">
        <v>36</v>
      </c>
      <c r="H1660" s="17" t="s">
        <v>25</v>
      </c>
      <c r="I1660" s="18" t="s">
        <v>26</v>
      </c>
      <c r="J1660" s="17" t="n">
        <v>2021</v>
      </c>
      <c r="K1660" s="19" t="s">
        <v>27</v>
      </c>
      <c r="L1660" s="15" t="s">
        <v>28</v>
      </c>
      <c r="M1660" s="15" t="s">
        <v>33</v>
      </c>
      <c r="N1660" s="17" t="s">
        <v>397</v>
      </c>
      <c r="O1660" s="15"/>
      <c r="P1660" s="15"/>
      <c r="Q1660" s="21"/>
      <c r="R1660" s="21"/>
      <c r="S1660" s="21"/>
      <c r="T1660" s="28"/>
      <c r="U1660" s="24"/>
    </row>
    <row r="1661" s="25" customFormat="true" ht="41.4" hidden="false" customHeight="false" outlineLevel="0" collapsed="false">
      <c r="A1661" s="36" t="s">
        <v>3644</v>
      </c>
      <c r="B1661" s="26" t="s">
        <v>3645</v>
      </c>
      <c r="C1661" s="14" t="s">
        <v>465</v>
      </c>
      <c r="D1661" s="15" t="n">
        <v>6</v>
      </c>
      <c r="E1661" s="27" t="n">
        <f aca="false">F1661/2</f>
        <v>8662</v>
      </c>
      <c r="F1661" s="16" t="n">
        <v>17324</v>
      </c>
      <c r="G1661" s="15" t="s">
        <v>36</v>
      </c>
      <c r="H1661" s="17" t="s">
        <v>25</v>
      </c>
      <c r="I1661" s="18" t="s">
        <v>26</v>
      </c>
      <c r="J1661" s="15" t="n">
        <v>2021</v>
      </c>
      <c r="K1661" s="19" t="s">
        <v>27</v>
      </c>
      <c r="L1661" s="15" t="s">
        <v>28</v>
      </c>
      <c r="M1661" s="15" t="s">
        <v>33</v>
      </c>
      <c r="N1661" s="17" t="s">
        <v>397</v>
      </c>
      <c r="O1661" s="15"/>
      <c r="P1661" s="15"/>
      <c r="Q1661" s="21"/>
      <c r="R1661" s="21"/>
      <c r="S1661" s="21"/>
      <c r="T1661" s="31" t="n">
        <v>45859</v>
      </c>
      <c r="U1661" s="24"/>
    </row>
    <row r="1662" s="25" customFormat="true" ht="41.4" hidden="false" customHeight="false" outlineLevel="0" collapsed="false">
      <c r="A1662" s="36" t="s">
        <v>3646</v>
      </c>
      <c r="B1662" s="26" t="s">
        <v>3647</v>
      </c>
      <c r="C1662" s="14" t="s">
        <v>122</v>
      </c>
      <c r="D1662" s="15" t="n">
        <v>12</v>
      </c>
      <c r="E1662" s="27" t="n">
        <v>23628</v>
      </c>
      <c r="F1662" s="16" t="n">
        <v>39204</v>
      </c>
      <c r="G1662" s="15" t="s">
        <v>36</v>
      </c>
      <c r="H1662" s="17" t="s">
        <v>25</v>
      </c>
      <c r="I1662" s="18" t="s">
        <v>26</v>
      </c>
      <c r="J1662" s="15" t="n">
        <v>2017</v>
      </c>
      <c r="K1662" s="19" t="s">
        <v>27</v>
      </c>
      <c r="L1662" s="15" t="s">
        <v>28</v>
      </c>
      <c r="M1662" s="15" t="s">
        <v>33</v>
      </c>
      <c r="N1662" s="17" t="s">
        <v>397</v>
      </c>
      <c r="O1662" s="15"/>
      <c r="P1662" s="15"/>
      <c r="Q1662" s="21"/>
      <c r="R1662" s="21"/>
      <c r="S1662" s="21"/>
      <c r="T1662" s="28"/>
      <c r="U1662" s="24"/>
    </row>
    <row r="1663" s="25" customFormat="true" ht="41.4" hidden="false" customHeight="false" outlineLevel="0" collapsed="false">
      <c r="A1663" s="36" t="s">
        <v>3648</v>
      </c>
      <c r="B1663" s="26" t="s">
        <v>3649</v>
      </c>
      <c r="C1663" s="14"/>
      <c r="D1663" s="15" t="n">
        <v>12</v>
      </c>
      <c r="E1663" s="27" t="n">
        <f aca="false">F1663/2</f>
        <v>5544</v>
      </c>
      <c r="F1663" s="16" t="n">
        <v>11088</v>
      </c>
      <c r="G1663" s="15" t="s">
        <v>36</v>
      </c>
      <c r="H1663" s="17" t="s">
        <v>25</v>
      </c>
      <c r="I1663" s="18" t="s">
        <v>26</v>
      </c>
      <c r="J1663" s="15" t="n">
        <v>2019</v>
      </c>
      <c r="K1663" s="19" t="s">
        <v>27</v>
      </c>
      <c r="L1663" s="17" t="s">
        <v>3650</v>
      </c>
      <c r="M1663" s="15" t="s">
        <v>33</v>
      </c>
      <c r="N1663" s="17" t="s">
        <v>175</v>
      </c>
      <c r="O1663" s="15"/>
      <c r="P1663" s="15"/>
      <c r="Q1663" s="21"/>
      <c r="R1663" s="21"/>
      <c r="S1663" s="21"/>
      <c r="T1663" s="28"/>
      <c r="U1663" s="24"/>
    </row>
    <row r="1664" s="25" customFormat="true" ht="41.4" hidden="false" customHeight="false" outlineLevel="0" collapsed="false">
      <c r="A1664" s="36" t="s">
        <v>3651</v>
      </c>
      <c r="B1664" s="26" t="s">
        <v>3652</v>
      </c>
      <c r="C1664" s="14" t="s">
        <v>246</v>
      </c>
      <c r="D1664" s="15" t="n">
        <v>4</v>
      </c>
      <c r="E1664" s="27" t="n">
        <f aca="false">F1664/2</f>
        <v>8565</v>
      </c>
      <c r="F1664" s="38" t="n">
        <v>17130</v>
      </c>
      <c r="G1664" s="15" t="s">
        <v>36</v>
      </c>
      <c r="H1664" s="17" t="s">
        <v>25</v>
      </c>
      <c r="I1664" s="18" t="s">
        <v>26</v>
      </c>
      <c r="J1664" s="15" t="n">
        <v>2017</v>
      </c>
      <c r="K1664" s="19" t="s">
        <v>27</v>
      </c>
      <c r="L1664" s="15" t="s">
        <v>28</v>
      </c>
      <c r="M1664" s="15" t="s">
        <v>33</v>
      </c>
      <c r="N1664" s="20"/>
      <c r="O1664" s="15"/>
      <c r="P1664" s="15"/>
      <c r="Q1664" s="21" t="s">
        <v>247</v>
      </c>
      <c r="R1664" s="21"/>
      <c r="S1664" s="21"/>
      <c r="T1664" s="31" t="n">
        <v>45882</v>
      </c>
      <c r="U1664" s="24" t="s">
        <v>248</v>
      </c>
    </row>
    <row r="1665" s="25" customFormat="true" ht="41.4" hidden="false" customHeight="false" outlineLevel="0" collapsed="false">
      <c r="A1665" s="36" t="s">
        <v>3653</v>
      </c>
      <c r="B1665" s="26" t="s">
        <v>3654</v>
      </c>
      <c r="C1665" s="14" t="s">
        <v>301</v>
      </c>
      <c r="D1665" s="15" t="n">
        <v>4</v>
      </c>
      <c r="E1665" s="27" t="n">
        <f aca="false">F1665/2</f>
        <v>3194.5</v>
      </c>
      <c r="F1665" s="16" t="n">
        <f aca="false">CEILING(5324*1.2,1)</f>
        <v>6389</v>
      </c>
      <c r="G1665" s="15" t="s">
        <v>36</v>
      </c>
      <c r="H1665" s="17" t="s">
        <v>25</v>
      </c>
      <c r="I1665" s="18" t="s">
        <v>26</v>
      </c>
      <c r="J1665" s="15" t="n">
        <v>2018</v>
      </c>
      <c r="K1665" s="19" t="s">
        <v>27</v>
      </c>
      <c r="L1665" s="15" t="s">
        <v>28</v>
      </c>
      <c r="M1665" s="15" t="s">
        <v>33</v>
      </c>
      <c r="N1665" s="17" t="s">
        <v>83</v>
      </c>
      <c r="O1665" s="15" t="s">
        <v>46</v>
      </c>
      <c r="P1665" s="15"/>
      <c r="Q1665" s="21" t="s">
        <v>78</v>
      </c>
      <c r="R1665" s="21"/>
      <c r="S1665" s="21"/>
      <c r="T1665" s="28"/>
      <c r="U1665" s="24"/>
    </row>
    <row r="1666" s="25" customFormat="true" ht="41.4" hidden="false" customHeight="false" outlineLevel="0" collapsed="false">
      <c r="A1666" s="36" t="s">
        <v>3655</v>
      </c>
      <c r="B1666" s="26"/>
      <c r="C1666" s="14" t="s">
        <v>1027</v>
      </c>
      <c r="D1666" s="15" t="n">
        <v>4</v>
      </c>
      <c r="E1666" s="27" t="n">
        <f aca="false">F1666/2</f>
        <v>50</v>
      </c>
      <c r="F1666" s="16" t="n">
        <v>100</v>
      </c>
      <c r="G1666" s="15" t="s">
        <v>36</v>
      </c>
      <c r="H1666" s="17" t="s">
        <v>25</v>
      </c>
      <c r="I1666" s="18" t="s">
        <v>26</v>
      </c>
      <c r="J1666" s="15" t="n">
        <v>2025</v>
      </c>
      <c r="K1666" s="19" t="s">
        <v>27</v>
      </c>
      <c r="L1666" s="15" t="s">
        <v>28</v>
      </c>
      <c r="M1666" s="15" t="s">
        <v>33</v>
      </c>
      <c r="N1666" s="17" t="s">
        <v>719</v>
      </c>
      <c r="O1666" s="15"/>
      <c r="P1666" s="15"/>
      <c r="Q1666" s="21"/>
      <c r="R1666" s="21"/>
      <c r="S1666" s="21"/>
      <c r="T1666" s="28"/>
      <c r="U1666" s="24"/>
    </row>
    <row r="1667" s="25" customFormat="true" ht="41.4" hidden="false" customHeight="false" outlineLevel="0" collapsed="false">
      <c r="A1667" s="36" t="s">
        <v>3656</v>
      </c>
      <c r="B1667" s="26" t="s">
        <v>3657</v>
      </c>
      <c r="C1667" s="14" t="s">
        <v>233</v>
      </c>
      <c r="D1667" s="15" t="n">
        <v>4</v>
      </c>
      <c r="E1667" s="27" t="n">
        <f aca="false">F1667/2</f>
        <v>1450</v>
      </c>
      <c r="F1667" s="16" t="n">
        <v>2900</v>
      </c>
      <c r="G1667" s="15" t="s">
        <v>36</v>
      </c>
      <c r="H1667" s="17" t="s">
        <v>25</v>
      </c>
      <c r="I1667" s="18" t="s">
        <v>26</v>
      </c>
      <c r="J1667" s="15" t="n">
        <v>2021</v>
      </c>
      <c r="K1667" s="19" t="s">
        <v>234</v>
      </c>
      <c r="L1667" s="15" t="s">
        <v>28</v>
      </c>
      <c r="M1667" s="15" t="s">
        <v>33</v>
      </c>
      <c r="N1667" s="20"/>
      <c r="O1667" s="15"/>
      <c r="P1667" s="15"/>
      <c r="Q1667" s="21"/>
      <c r="R1667" s="21"/>
      <c r="S1667" s="21"/>
      <c r="T1667" s="28"/>
      <c r="U1667" s="24"/>
      <c r="V1667" s="37"/>
      <c r="W1667" s="37"/>
    </row>
    <row r="1668" s="25" customFormat="true" ht="41.4" hidden="false" customHeight="false" outlineLevel="0" collapsed="false">
      <c r="A1668" s="36" t="s">
        <v>3658</v>
      </c>
      <c r="B1668" s="26"/>
      <c r="C1668" s="14" t="s">
        <v>1027</v>
      </c>
      <c r="D1668" s="15" t="n">
        <v>2</v>
      </c>
      <c r="E1668" s="27" t="n">
        <f aca="false">F1668/2</f>
        <v>50</v>
      </c>
      <c r="F1668" s="16" t="n">
        <v>100</v>
      </c>
      <c r="G1668" s="15" t="s">
        <v>36</v>
      </c>
      <c r="H1668" s="17" t="s">
        <v>25</v>
      </c>
      <c r="I1668" s="18" t="s">
        <v>26</v>
      </c>
      <c r="J1668" s="15" t="n">
        <v>2025</v>
      </c>
      <c r="K1668" s="19" t="s">
        <v>27</v>
      </c>
      <c r="L1668" s="15" t="s">
        <v>28</v>
      </c>
      <c r="M1668" s="15" t="s">
        <v>33</v>
      </c>
      <c r="N1668" s="17" t="s">
        <v>719</v>
      </c>
      <c r="O1668" s="15"/>
      <c r="P1668" s="15"/>
      <c r="Q1668" s="21"/>
      <c r="R1668" s="21"/>
      <c r="S1668" s="21"/>
      <c r="T1668" s="28"/>
      <c r="U1668" s="24"/>
    </row>
    <row r="1669" s="25" customFormat="true" ht="41.4" hidden="false" customHeight="false" outlineLevel="0" collapsed="false">
      <c r="A1669" s="36" t="s">
        <v>3659</v>
      </c>
      <c r="B1669" s="26" t="s">
        <v>3660</v>
      </c>
      <c r="C1669" s="14" t="s">
        <v>246</v>
      </c>
      <c r="D1669" s="15" t="n">
        <v>6</v>
      </c>
      <c r="E1669" s="27" t="n">
        <f aca="false">F1669/2</f>
        <v>4672</v>
      </c>
      <c r="F1669" s="38" t="n">
        <v>9344</v>
      </c>
      <c r="G1669" s="15" t="s">
        <v>24</v>
      </c>
      <c r="H1669" s="17" t="s">
        <v>25</v>
      </c>
      <c r="I1669" s="18" t="s">
        <v>26</v>
      </c>
      <c r="J1669" s="15" t="n">
        <v>2000</v>
      </c>
      <c r="K1669" s="19" t="s">
        <v>27</v>
      </c>
      <c r="L1669" s="15" t="s">
        <v>28</v>
      </c>
      <c r="M1669" s="15" t="s">
        <v>33</v>
      </c>
      <c r="N1669" s="17"/>
      <c r="O1669" s="15"/>
      <c r="P1669" s="15"/>
      <c r="Q1669" s="21" t="s">
        <v>280</v>
      </c>
      <c r="R1669" s="21"/>
      <c r="S1669" s="21"/>
      <c r="T1669" s="31" t="n">
        <v>45882</v>
      </c>
      <c r="U1669" s="24" t="s">
        <v>3661</v>
      </c>
    </row>
    <row r="1670" s="25" customFormat="true" ht="41.4" hidden="false" customHeight="false" outlineLevel="0" collapsed="false">
      <c r="A1670" s="36" t="s">
        <v>3662</v>
      </c>
      <c r="B1670" s="26"/>
      <c r="C1670" s="14" t="s">
        <v>197</v>
      </c>
      <c r="D1670" s="15" t="n">
        <v>4</v>
      </c>
      <c r="E1670" s="16" t="n">
        <f aca="false">F1670/2</f>
        <v>625</v>
      </c>
      <c r="F1670" s="16" t="n">
        <v>1250</v>
      </c>
      <c r="G1670" s="15" t="s">
        <v>36</v>
      </c>
      <c r="H1670" s="17" t="s">
        <v>25</v>
      </c>
      <c r="I1670" s="18" t="s">
        <v>26</v>
      </c>
      <c r="J1670" s="15" t="n">
        <v>2025</v>
      </c>
      <c r="K1670" s="19" t="s">
        <v>27</v>
      </c>
      <c r="L1670" s="15" t="s">
        <v>28</v>
      </c>
      <c r="M1670" s="15" t="s">
        <v>33</v>
      </c>
      <c r="N1670" s="17"/>
      <c r="O1670" s="15"/>
      <c r="P1670" s="15"/>
      <c r="Q1670" s="21"/>
      <c r="R1670" s="21"/>
      <c r="S1670" s="21"/>
      <c r="T1670" s="28"/>
      <c r="U1670" s="24"/>
    </row>
    <row r="1671" s="25" customFormat="true" ht="41.4" hidden="false" customHeight="false" outlineLevel="0" collapsed="false">
      <c r="A1671" s="36" t="s">
        <v>3663</v>
      </c>
      <c r="B1671" s="26"/>
      <c r="C1671" s="14" t="s">
        <v>609</v>
      </c>
      <c r="D1671" s="15" t="n">
        <v>4</v>
      </c>
      <c r="E1671" s="27" t="n">
        <f aca="false">F1671/2</f>
        <v>1714</v>
      </c>
      <c r="F1671" s="16" t="n">
        <v>3428</v>
      </c>
      <c r="G1671" s="15" t="s">
        <v>36</v>
      </c>
      <c r="H1671" s="17" t="s">
        <v>25</v>
      </c>
      <c r="I1671" s="18" t="s">
        <v>26</v>
      </c>
      <c r="J1671" s="15" t="n">
        <v>2025</v>
      </c>
      <c r="K1671" s="19" t="s">
        <v>27</v>
      </c>
      <c r="L1671" s="15" t="s">
        <v>28</v>
      </c>
      <c r="M1671" s="15" t="s">
        <v>33</v>
      </c>
      <c r="N1671" s="17" t="s">
        <v>175</v>
      </c>
      <c r="O1671" s="15" t="s">
        <v>46</v>
      </c>
      <c r="P1671" s="15"/>
      <c r="Q1671" s="21" t="s">
        <v>78</v>
      </c>
      <c r="R1671" s="21"/>
      <c r="S1671" s="21" t="s">
        <v>113</v>
      </c>
      <c r="T1671" s="31" t="n">
        <v>45846</v>
      </c>
      <c r="U1671" s="24"/>
    </row>
    <row r="1672" s="25" customFormat="true" ht="41.4" hidden="false" customHeight="false" outlineLevel="0" collapsed="false">
      <c r="A1672" s="36" t="s">
        <v>3664</v>
      </c>
      <c r="B1672" s="26" t="s">
        <v>3665</v>
      </c>
      <c r="C1672" s="14"/>
      <c r="D1672" s="15" t="n">
        <v>12</v>
      </c>
      <c r="E1672" s="27" t="n">
        <f aca="false">F1672/2</f>
        <v>1400</v>
      </c>
      <c r="F1672" s="16" t="n">
        <v>2800</v>
      </c>
      <c r="G1672" s="15" t="s">
        <v>24</v>
      </c>
      <c r="H1672" s="17" t="s">
        <v>25</v>
      </c>
      <c r="I1672" s="18" t="s">
        <v>26</v>
      </c>
      <c r="J1672" s="15" t="n">
        <v>2013</v>
      </c>
      <c r="K1672" s="19" t="s">
        <v>27</v>
      </c>
      <c r="L1672" s="15" t="s">
        <v>28</v>
      </c>
      <c r="M1672" s="15" t="s">
        <v>33</v>
      </c>
      <c r="N1672" s="17" t="s">
        <v>1227</v>
      </c>
      <c r="O1672" s="15"/>
      <c r="P1672" s="15"/>
      <c r="Q1672" s="21" t="s">
        <v>47</v>
      </c>
      <c r="R1672" s="21"/>
      <c r="S1672" s="21"/>
      <c r="T1672" s="28"/>
      <c r="U1672" s="24" t="s">
        <v>3666</v>
      </c>
    </row>
    <row r="1673" s="25" customFormat="true" ht="41.4" hidden="false" customHeight="false" outlineLevel="0" collapsed="false">
      <c r="A1673" s="36" t="s">
        <v>3667</v>
      </c>
      <c r="B1673" s="26" t="s">
        <v>3668</v>
      </c>
      <c r="C1673" s="14" t="s">
        <v>213</v>
      </c>
      <c r="D1673" s="15" t="n">
        <v>12</v>
      </c>
      <c r="E1673" s="27" t="n">
        <f aca="false">F1673/2</f>
        <v>1200</v>
      </c>
      <c r="F1673" s="16" t="n">
        <f aca="false">200*12</f>
        <v>2400</v>
      </c>
      <c r="G1673" s="15" t="s">
        <v>36</v>
      </c>
      <c r="H1673" s="17" t="s">
        <v>25</v>
      </c>
      <c r="I1673" s="18" t="s">
        <v>26</v>
      </c>
      <c r="J1673" s="15" t="n">
        <v>2013</v>
      </c>
      <c r="K1673" s="19" t="s">
        <v>27</v>
      </c>
      <c r="L1673" s="15" t="s">
        <v>28</v>
      </c>
      <c r="M1673" s="15" t="s">
        <v>33</v>
      </c>
      <c r="N1673" s="17" t="s">
        <v>214</v>
      </c>
      <c r="O1673" s="15"/>
      <c r="P1673" s="15"/>
      <c r="Q1673" s="21" t="s">
        <v>215</v>
      </c>
      <c r="R1673" s="21"/>
      <c r="S1673" s="21"/>
      <c r="T1673" s="28"/>
      <c r="U1673" s="24"/>
    </row>
    <row r="1674" s="25" customFormat="true" ht="41.4" hidden="false" customHeight="false" outlineLevel="0" collapsed="false">
      <c r="A1674" s="36" t="s">
        <v>3669</v>
      </c>
      <c r="B1674" s="26"/>
      <c r="C1674" s="14" t="s">
        <v>1422</v>
      </c>
      <c r="D1674" s="15" t="n">
        <v>12</v>
      </c>
      <c r="E1674" s="27" t="n">
        <f aca="false">F1674/2</f>
        <v>2500</v>
      </c>
      <c r="F1674" s="16" t="n">
        <v>5000</v>
      </c>
      <c r="G1674" s="15" t="s">
        <v>36</v>
      </c>
      <c r="H1674" s="17" t="s">
        <v>25</v>
      </c>
      <c r="I1674" s="18" t="s">
        <v>26</v>
      </c>
      <c r="J1674" s="15" t="n">
        <v>2023</v>
      </c>
      <c r="K1674" s="19" t="s">
        <v>27</v>
      </c>
      <c r="L1674" s="15" t="s">
        <v>28</v>
      </c>
      <c r="M1674" s="15" t="s">
        <v>33</v>
      </c>
      <c r="N1674" s="17" t="s">
        <v>72</v>
      </c>
      <c r="O1674" s="15"/>
      <c r="P1674" s="15"/>
      <c r="Q1674" s="21"/>
      <c r="R1674" s="21"/>
      <c r="S1674" s="21"/>
      <c r="T1674" s="28"/>
      <c r="U1674" s="24"/>
    </row>
    <row r="1675" s="25" customFormat="true" ht="41.4" hidden="false" customHeight="false" outlineLevel="0" collapsed="false">
      <c r="A1675" s="64" t="s">
        <v>3670</v>
      </c>
      <c r="B1675" s="26" t="s">
        <v>3671</v>
      </c>
      <c r="C1675" s="14" t="s">
        <v>264</v>
      </c>
      <c r="D1675" s="30" t="n">
        <v>12</v>
      </c>
      <c r="E1675" s="16" t="n">
        <f aca="false">F1675/2</f>
        <v>71245.44</v>
      </c>
      <c r="F1675" s="16" t="n">
        <f aca="false">153216*0.93</f>
        <v>142490.88</v>
      </c>
      <c r="G1675" s="15" t="s">
        <v>36</v>
      </c>
      <c r="H1675" s="17" t="s">
        <v>25</v>
      </c>
      <c r="I1675" s="18" t="s">
        <v>26</v>
      </c>
      <c r="J1675" s="15" t="n">
        <v>2024</v>
      </c>
      <c r="K1675" s="19" t="s">
        <v>27</v>
      </c>
      <c r="L1675" s="15" t="s">
        <v>28</v>
      </c>
      <c r="M1675" s="15" t="s">
        <v>33</v>
      </c>
      <c r="N1675" s="17" t="s">
        <v>72</v>
      </c>
      <c r="O1675" s="60"/>
      <c r="P1675" s="60"/>
      <c r="Q1675" s="21"/>
      <c r="R1675" s="21"/>
      <c r="S1675" s="40"/>
      <c r="T1675" s="31" t="n">
        <v>45880</v>
      </c>
      <c r="U1675" s="24"/>
    </row>
    <row r="1676" s="25" customFormat="true" ht="41.4" hidden="false" customHeight="false" outlineLevel="0" collapsed="false">
      <c r="A1676" s="42" t="s">
        <v>3672</v>
      </c>
      <c r="B1676" s="26"/>
      <c r="C1676" s="14" t="s">
        <v>264</v>
      </c>
      <c r="D1676" s="15" t="n">
        <v>12</v>
      </c>
      <c r="E1676" s="27" t="n">
        <f aca="false">F1676/2</f>
        <v>53434.08</v>
      </c>
      <c r="F1676" s="93" t="n">
        <f aca="false">114912*0.93</f>
        <v>106868.16</v>
      </c>
      <c r="G1676" s="15" t="s">
        <v>36</v>
      </c>
      <c r="H1676" s="17" t="s">
        <v>25</v>
      </c>
      <c r="I1676" s="18" t="s">
        <v>26</v>
      </c>
      <c r="J1676" s="15" t="n">
        <v>2024</v>
      </c>
      <c r="K1676" s="19" t="s">
        <v>27</v>
      </c>
      <c r="L1676" s="15" t="s">
        <v>28</v>
      </c>
      <c r="M1676" s="15" t="s">
        <v>33</v>
      </c>
      <c r="N1676" s="17" t="s">
        <v>72</v>
      </c>
      <c r="O1676" s="15"/>
      <c r="P1676" s="15"/>
      <c r="Q1676" s="21"/>
      <c r="R1676" s="21"/>
      <c r="S1676" s="21"/>
      <c r="T1676" s="31" t="n">
        <v>45880</v>
      </c>
      <c r="U1676" s="24"/>
    </row>
    <row r="1677" s="25" customFormat="true" ht="41.4" hidden="false" customHeight="false" outlineLevel="0" collapsed="false">
      <c r="A1677" s="36" t="s">
        <v>3673</v>
      </c>
      <c r="B1677" s="26" t="s">
        <v>3674</v>
      </c>
      <c r="C1677" s="14" t="s">
        <v>246</v>
      </c>
      <c r="D1677" s="15" t="n">
        <v>6</v>
      </c>
      <c r="E1677" s="27" t="n">
        <f aca="false">F1677/2</f>
        <v>7898</v>
      </c>
      <c r="F1677" s="38" t="n">
        <v>15796</v>
      </c>
      <c r="G1677" s="15" t="s">
        <v>36</v>
      </c>
      <c r="H1677" s="17" t="s">
        <v>25</v>
      </c>
      <c r="I1677" s="18" t="s">
        <v>26</v>
      </c>
      <c r="J1677" s="15" t="n">
        <v>2017</v>
      </c>
      <c r="K1677" s="19" t="s">
        <v>27</v>
      </c>
      <c r="L1677" s="15" t="s">
        <v>28</v>
      </c>
      <c r="M1677" s="15" t="s">
        <v>33</v>
      </c>
      <c r="N1677" s="20" t="s">
        <v>153</v>
      </c>
      <c r="O1677" s="15"/>
      <c r="P1677" s="15"/>
      <c r="Q1677" s="21" t="s">
        <v>247</v>
      </c>
      <c r="R1677" s="21"/>
      <c r="S1677" s="21"/>
      <c r="T1677" s="31" t="n">
        <v>45882</v>
      </c>
      <c r="U1677" s="24"/>
    </row>
    <row r="1678" s="25" customFormat="true" ht="41.4" hidden="false" customHeight="false" outlineLevel="0" collapsed="false">
      <c r="A1678" s="36" t="s">
        <v>3675</v>
      </c>
      <c r="B1678" s="26" t="s">
        <v>3676</v>
      </c>
      <c r="C1678" s="14" t="s">
        <v>152</v>
      </c>
      <c r="D1678" s="15" t="n">
        <v>6</v>
      </c>
      <c r="E1678" s="16" t="n">
        <f aca="false">F1678/2</f>
        <v>50</v>
      </c>
      <c r="F1678" s="16" t="n">
        <v>100</v>
      </c>
      <c r="G1678" s="15" t="s">
        <v>36</v>
      </c>
      <c r="H1678" s="17" t="s">
        <v>25</v>
      </c>
      <c r="I1678" s="18" t="s">
        <v>26</v>
      </c>
      <c r="J1678" s="15" t="n">
        <v>2023</v>
      </c>
      <c r="K1678" s="19" t="s">
        <v>27</v>
      </c>
      <c r="L1678" s="15" t="s">
        <v>28</v>
      </c>
      <c r="M1678" s="15" t="s">
        <v>33</v>
      </c>
      <c r="N1678" s="20" t="s">
        <v>153</v>
      </c>
      <c r="O1678" s="15" t="s">
        <v>250</v>
      </c>
      <c r="P1678" s="15"/>
      <c r="Q1678" s="21"/>
      <c r="R1678" s="21"/>
      <c r="S1678" s="21"/>
      <c r="T1678" s="28"/>
      <c r="U1678" s="24"/>
    </row>
    <row r="1679" s="25" customFormat="true" ht="41.4" hidden="false" customHeight="false" outlineLevel="0" collapsed="false">
      <c r="A1679" s="36" t="s">
        <v>3677</v>
      </c>
      <c r="B1679" s="26"/>
      <c r="C1679" s="14" t="s">
        <v>864</v>
      </c>
      <c r="D1679" s="15" t="n">
        <v>4</v>
      </c>
      <c r="E1679" s="16" t="n">
        <f aca="false">F1679/2</f>
        <v>50</v>
      </c>
      <c r="F1679" s="16" t="n">
        <v>100</v>
      </c>
      <c r="G1679" s="15" t="s">
        <v>36</v>
      </c>
      <c r="H1679" s="17" t="s">
        <v>25</v>
      </c>
      <c r="I1679" s="18" t="s">
        <v>26</v>
      </c>
      <c r="J1679" s="15" t="n">
        <v>2023</v>
      </c>
      <c r="K1679" s="19" t="s">
        <v>553</v>
      </c>
      <c r="L1679" s="15" t="s">
        <v>28</v>
      </c>
      <c r="M1679" s="15" t="s">
        <v>33</v>
      </c>
      <c r="N1679" s="17" t="s">
        <v>160</v>
      </c>
      <c r="O1679" s="15" t="s">
        <v>203</v>
      </c>
      <c r="P1679" s="15"/>
      <c r="Q1679" s="21"/>
      <c r="R1679" s="21"/>
      <c r="S1679" s="21"/>
      <c r="T1679" s="28"/>
      <c r="U1679" s="24"/>
    </row>
    <row r="1680" s="25" customFormat="true" ht="41.4" hidden="false" customHeight="false" outlineLevel="0" collapsed="false">
      <c r="A1680" s="36" t="s">
        <v>3678</v>
      </c>
      <c r="B1680" s="26" t="s">
        <v>3679</v>
      </c>
      <c r="C1680" s="14" t="s">
        <v>197</v>
      </c>
      <c r="D1680" s="15" t="n">
        <v>12</v>
      </c>
      <c r="E1680" s="16" t="n">
        <f aca="false">F1680/2</f>
        <v>4125</v>
      </c>
      <c r="F1680" s="16" t="n">
        <v>8250</v>
      </c>
      <c r="G1680" s="15" t="s">
        <v>36</v>
      </c>
      <c r="H1680" s="17" t="s">
        <v>25</v>
      </c>
      <c r="I1680" s="18" t="s">
        <v>26</v>
      </c>
      <c r="J1680" s="15" t="n">
        <v>2020</v>
      </c>
      <c r="K1680" s="19" t="s">
        <v>27</v>
      </c>
      <c r="L1680" s="15" t="s">
        <v>28</v>
      </c>
      <c r="M1680" s="15" t="s">
        <v>33</v>
      </c>
      <c r="N1680" s="17" t="s">
        <v>160</v>
      </c>
      <c r="O1680" s="15"/>
      <c r="P1680" s="15"/>
      <c r="Q1680" s="21"/>
      <c r="R1680" s="21"/>
      <c r="S1680" s="21"/>
      <c r="T1680" s="28"/>
      <c r="U1680" s="24"/>
    </row>
    <row r="1681" s="25" customFormat="true" ht="41.4" hidden="false" customHeight="false" outlineLevel="0" collapsed="false">
      <c r="A1681" s="36" t="s">
        <v>3680</v>
      </c>
      <c r="B1681" s="26" t="s">
        <v>3681</v>
      </c>
      <c r="C1681" s="14" t="s">
        <v>197</v>
      </c>
      <c r="D1681" s="15" t="n">
        <v>4</v>
      </c>
      <c r="E1681" s="16" t="n">
        <f aca="false">F1681/2</f>
        <v>625</v>
      </c>
      <c r="F1681" s="16" t="n">
        <v>1250</v>
      </c>
      <c r="G1681" s="15" t="s">
        <v>36</v>
      </c>
      <c r="H1681" s="17" t="s">
        <v>25</v>
      </c>
      <c r="I1681" s="18" t="s">
        <v>26</v>
      </c>
      <c r="J1681" s="15" t="n">
        <v>2020</v>
      </c>
      <c r="K1681" s="19" t="s">
        <v>27</v>
      </c>
      <c r="L1681" s="15" t="s">
        <v>28</v>
      </c>
      <c r="M1681" s="15" t="s">
        <v>33</v>
      </c>
      <c r="N1681" s="17" t="s">
        <v>160</v>
      </c>
      <c r="O1681" s="15"/>
      <c r="P1681" s="15"/>
      <c r="Q1681" s="21"/>
      <c r="R1681" s="21"/>
      <c r="S1681" s="21"/>
      <c r="T1681" s="28"/>
      <c r="U1681" s="24"/>
    </row>
    <row r="1682" s="25" customFormat="true" ht="41.4" hidden="false" customHeight="false" outlineLevel="0" collapsed="false">
      <c r="A1682" s="36" t="s">
        <v>3682</v>
      </c>
      <c r="B1682" s="26"/>
      <c r="C1682" s="14" t="s">
        <v>3683</v>
      </c>
      <c r="D1682" s="15" t="n">
        <v>12</v>
      </c>
      <c r="E1682" s="16" t="n">
        <f aca="false">F1682/2</f>
        <v>9360</v>
      </c>
      <c r="F1682" s="16" t="n">
        <v>18720</v>
      </c>
      <c r="G1682" s="15" t="s">
        <v>36</v>
      </c>
      <c r="H1682" s="17" t="s">
        <v>25</v>
      </c>
      <c r="I1682" s="18" t="s">
        <v>26</v>
      </c>
      <c r="J1682" s="15" t="n">
        <v>2026</v>
      </c>
      <c r="K1682" s="19" t="s">
        <v>27</v>
      </c>
      <c r="L1682" s="15" t="s">
        <v>28</v>
      </c>
      <c r="M1682" s="15" t="s">
        <v>33</v>
      </c>
      <c r="N1682" s="17"/>
      <c r="O1682" s="15"/>
      <c r="P1682" s="15"/>
      <c r="Q1682" s="21"/>
      <c r="R1682" s="21"/>
      <c r="S1682" s="21" t="s">
        <v>18</v>
      </c>
      <c r="T1682" s="31" t="n">
        <v>45911</v>
      </c>
      <c r="U1682" s="24"/>
    </row>
    <row r="1683" s="25" customFormat="true" ht="41.4" hidden="false" customHeight="false" outlineLevel="0" collapsed="false">
      <c r="A1683" s="36" t="s">
        <v>3684</v>
      </c>
      <c r="B1683" s="26"/>
      <c r="C1683" s="14" t="s">
        <v>3685</v>
      </c>
      <c r="D1683" s="15" t="n">
        <v>4</v>
      </c>
      <c r="E1683" s="16" t="n">
        <f aca="false">F1683/2</f>
        <v>0</v>
      </c>
      <c r="F1683" s="16"/>
      <c r="G1683" s="15" t="s">
        <v>36</v>
      </c>
      <c r="H1683" s="17" t="s">
        <v>25</v>
      </c>
      <c r="I1683" s="18" t="s">
        <v>26</v>
      </c>
      <c r="J1683" s="15" t="n">
        <v>2024</v>
      </c>
      <c r="K1683" s="19" t="s">
        <v>27</v>
      </c>
      <c r="L1683" s="15" t="s">
        <v>28</v>
      </c>
      <c r="M1683" s="15" t="s">
        <v>33</v>
      </c>
      <c r="N1683" s="17"/>
      <c r="O1683" s="15"/>
      <c r="P1683" s="15"/>
      <c r="Q1683" s="21"/>
      <c r="R1683" s="21"/>
      <c r="S1683" s="21" t="s">
        <v>18</v>
      </c>
      <c r="T1683" s="31" t="n">
        <v>45917</v>
      </c>
      <c r="U1683" s="24"/>
    </row>
    <row r="1684" s="25" customFormat="true" ht="41.4" hidden="false" customHeight="false" outlineLevel="0" collapsed="false">
      <c r="A1684" s="36" t="s">
        <v>3686</v>
      </c>
      <c r="B1684" s="26"/>
      <c r="C1684" s="14" t="s">
        <v>2171</v>
      </c>
      <c r="D1684" s="15" t="n">
        <v>12</v>
      </c>
      <c r="E1684" s="16" t="n">
        <f aca="false">F1684/2</f>
        <v>1750</v>
      </c>
      <c r="F1684" s="16" t="n">
        <v>3500</v>
      </c>
      <c r="G1684" s="15" t="s">
        <v>36</v>
      </c>
      <c r="H1684" s="17" t="s">
        <v>25</v>
      </c>
      <c r="I1684" s="18" t="s">
        <v>26</v>
      </c>
      <c r="J1684" s="15" t="n">
        <v>2026</v>
      </c>
      <c r="K1684" s="19" t="s">
        <v>27</v>
      </c>
      <c r="L1684" s="15" t="s">
        <v>28</v>
      </c>
      <c r="M1684" s="15" t="s">
        <v>33</v>
      </c>
      <c r="N1684" s="17"/>
      <c r="O1684" s="15"/>
      <c r="P1684" s="15"/>
      <c r="Q1684" s="21"/>
      <c r="R1684" s="21"/>
      <c r="S1684" s="21" t="s">
        <v>18</v>
      </c>
      <c r="T1684" s="31" t="n">
        <v>45917</v>
      </c>
      <c r="U1684" s="24"/>
    </row>
    <row r="1685" s="25" customFormat="true" ht="55.2" hidden="false" customHeight="false" outlineLevel="0" collapsed="false">
      <c r="A1685" s="36" t="s">
        <v>3687</v>
      </c>
      <c r="B1685" s="26"/>
      <c r="C1685" s="14" t="s">
        <v>3688</v>
      </c>
      <c r="D1685" s="15" t="n">
        <v>2</v>
      </c>
      <c r="E1685" s="16" t="n">
        <f aca="false">F1685/2</f>
        <v>50</v>
      </c>
      <c r="F1685" s="16" t="n">
        <v>100</v>
      </c>
      <c r="G1685" s="15" t="s">
        <v>36</v>
      </c>
      <c r="H1685" s="17" t="s">
        <v>25</v>
      </c>
      <c r="I1685" s="18" t="s">
        <v>26</v>
      </c>
      <c r="J1685" s="15" t="n">
        <v>2026</v>
      </c>
      <c r="K1685" s="19" t="s">
        <v>65</v>
      </c>
      <c r="L1685" s="15" t="s">
        <v>28</v>
      </c>
      <c r="M1685" s="15" t="s">
        <v>33</v>
      </c>
      <c r="N1685" s="17"/>
      <c r="O1685" s="15"/>
      <c r="P1685" s="15"/>
      <c r="Q1685" s="21"/>
      <c r="R1685" s="21"/>
      <c r="S1685" s="21" t="s">
        <v>18</v>
      </c>
      <c r="T1685" s="31" t="n">
        <v>45918</v>
      </c>
      <c r="U1685" s="24"/>
    </row>
    <row r="1686" s="25" customFormat="true" ht="55.2" hidden="false" customHeight="false" outlineLevel="0" collapsed="false">
      <c r="A1686" s="36" t="s">
        <v>3689</v>
      </c>
      <c r="B1686" s="26"/>
      <c r="C1686" s="14" t="s">
        <v>3688</v>
      </c>
      <c r="D1686" s="15" t="n">
        <v>4</v>
      </c>
      <c r="E1686" s="16" t="n">
        <f aca="false">F1686/2</f>
        <v>50</v>
      </c>
      <c r="F1686" s="16" t="n">
        <v>100</v>
      </c>
      <c r="G1686" s="15" t="s">
        <v>36</v>
      </c>
      <c r="H1686" s="17" t="s">
        <v>25</v>
      </c>
      <c r="I1686" s="18" t="s">
        <v>26</v>
      </c>
      <c r="J1686" s="15" t="n">
        <v>2026</v>
      </c>
      <c r="K1686" s="19" t="s">
        <v>65</v>
      </c>
      <c r="L1686" s="15" t="s">
        <v>28</v>
      </c>
      <c r="M1686" s="15" t="s">
        <v>33</v>
      </c>
      <c r="N1686" s="17"/>
      <c r="O1686" s="15"/>
      <c r="P1686" s="15"/>
      <c r="Q1686" s="21"/>
      <c r="R1686" s="21"/>
      <c r="S1686" s="21" t="s">
        <v>18</v>
      </c>
      <c r="T1686" s="31" t="n">
        <v>45918</v>
      </c>
      <c r="U1686" s="24"/>
    </row>
    <row r="1687" s="25" customFormat="true" ht="55.2" hidden="false" customHeight="false" outlineLevel="0" collapsed="false">
      <c r="A1687" s="36" t="s">
        <v>3690</v>
      </c>
      <c r="B1687" s="26"/>
      <c r="C1687" s="14" t="s">
        <v>3688</v>
      </c>
      <c r="D1687" s="15" t="n">
        <v>1</v>
      </c>
      <c r="E1687" s="16" t="n">
        <f aca="false">F1687/2</f>
        <v>50</v>
      </c>
      <c r="F1687" s="16" t="n">
        <v>100</v>
      </c>
      <c r="G1687" s="15" t="s">
        <v>36</v>
      </c>
      <c r="H1687" s="17" t="s">
        <v>25</v>
      </c>
      <c r="I1687" s="18" t="s">
        <v>26</v>
      </c>
      <c r="J1687" s="15" t="n">
        <v>2026</v>
      </c>
      <c r="K1687" s="19" t="s">
        <v>65</v>
      </c>
      <c r="L1687" s="15" t="s">
        <v>28</v>
      </c>
      <c r="M1687" s="15" t="s">
        <v>33</v>
      </c>
      <c r="N1687" s="17"/>
      <c r="O1687" s="15"/>
      <c r="P1687" s="15"/>
      <c r="Q1687" s="21"/>
      <c r="R1687" s="21"/>
      <c r="S1687" s="21" t="s">
        <v>18</v>
      </c>
      <c r="T1687" s="31" t="n">
        <v>45918</v>
      </c>
      <c r="U1687" s="24"/>
    </row>
    <row r="1688" s="25" customFormat="true" ht="55.2" hidden="false" customHeight="false" outlineLevel="0" collapsed="false">
      <c r="A1688" s="36" t="s">
        <v>3691</v>
      </c>
      <c r="B1688" s="26"/>
      <c r="C1688" s="14" t="s">
        <v>3688</v>
      </c>
      <c r="D1688" s="15" t="n">
        <v>1</v>
      </c>
      <c r="E1688" s="16" t="n">
        <f aca="false">F1688/2</f>
        <v>50</v>
      </c>
      <c r="F1688" s="16" t="n">
        <v>100</v>
      </c>
      <c r="G1688" s="15" t="s">
        <v>36</v>
      </c>
      <c r="H1688" s="17" t="s">
        <v>25</v>
      </c>
      <c r="I1688" s="18" t="s">
        <v>26</v>
      </c>
      <c r="J1688" s="15" t="n">
        <v>2026</v>
      </c>
      <c r="K1688" s="19" t="s">
        <v>65</v>
      </c>
      <c r="L1688" s="15" t="s">
        <v>28</v>
      </c>
      <c r="M1688" s="15" t="s">
        <v>33</v>
      </c>
      <c r="N1688" s="17"/>
      <c r="O1688" s="15"/>
      <c r="P1688" s="15"/>
      <c r="Q1688" s="21"/>
      <c r="R1688" s="21"/>
      <c r="S1688" s="21" t="s">
        <v>18</v>
      </c>
      <c r="T1688" s="31" t="n">
        <v>45918</v>
      </c>
      <c r="U1688" s="24"/>
    </row>
    <row r="1689" s="25" customFormat="true" ht="55.2" hidden="false" customHeight="false" outlineLevel="0" collapsed="false">
      <c r="A1689" s="36" t="s">
        <v>3692</v>
      </c>
      <c r="B1689" s="26"/>
      <c r="C1689" s="14" t="s">
        <v>3688</v>
      </c>
      <c r="D1689" s="15" t="n">
        <v>1</v>
      </c>
      <c r="E1689" s="16" t="n">
        <f aca="false">F1689/2</f>
        <v>50</v>
      </c>
      <c r="F1689" s="16" t="n">
        <v>100</v>
      </c>
      <c r="G1689" s="15" t="s">
        <v>36</v>
      </c>
      <c r="H1689" s="17" t="s">
        <v>25</v>
      </c>
      <c r="I1689" s="18" t="s">
        <v>26</v>
      </c>
      <c r="J1689" s="15" t="n">
        <v>2026</v>
      </c>
      <c r="K1689" s="19" t="s">
        <v>65</v>
      </c>
      <c r="L1689" s="15" t="s">
        <v>28</v>
      </c>
      <c r="M1689" s="15" t="s">
        <v>33</v>
      </c>
      <c r="N1689" s="17"/>
      <c r="O1689" s="15"/>
      <c r="P1689" s="15"/>
      <c r="Q1689" s="21"/>
      <c r="R1689" s="21"/>
      <c r="S1689" s="21" t="s">
        <v>18</v>
      </c>
      <c r="T1689" s="31" t="n">
        <v>45918</v>
      </c>
      <c r="U1689" s="24"/>
    </row>
    <row r="1690" s="25" customFormat="true" ht="55.2" hidden="false" customHeight="false" outlineLevel="0" collapsed="false">
      <c r="A1690" s="36" t="s">
        <v>3693</v>
      </c>
      <c r="B1690" s="26"/>
      <c r="C1690" s="14" t="s">
        <v>3688</v>
      </c>
      <c r="D1690" s="15" t="s">
        <v>3694</v>
      </c>
      <c r="E1690" s="16" t="n">
        <f aca="false">F1690/2</f>
        <v>50</v>
      </c>
      <c r="F1690" s="16" t="n">
        <v>100</v>
      </c>
      <c r="G1690" s="15" t="s">
        <v>36</v>
      </c>
      <c r="H1690" s="17" t="s">
        <v>25</v>
      </c>
      <c r="I1690" s="18" t="s">
        <v>26</v>
      </c>
      <c r="J1690" s="15" t="n">
        <v>2026</v>
      </c>
      <c r="K1690" s="19" t="s">
        <v>65</v>
      </c>
      <c r="L1690" s="15" t="s">
        <v>28</v>
      </c>
      <c r="M1690" s="15" t="s">
        <v>33</v>
      </c>
      <c r="N1690" s="17"/>
      <c r="O1690" s="15"/>
      <c r="P1690" s="15"/>
      <c r="Q1690" s="21"/>
      <c r="R1690" s="21"/>
      <c r="S1690" s="21" t="s">
        <v>18</v>
      </c>
      <c r="T1690" s="31" t="n">
        <v>45918</v>
      </c>
      <c r="U1690" s="24"/>
    </row>
    <row r="1691" s="25" customFormat="true" ht="41.4" hidden="false" customHeight="false" outlineLevel="0" collapsed="false">
      <c r="A1691" s="36" t="s">
        <v>3695</v>
      </c>
      <c r="B1691" s="26"/>
      <c r="C1691" s="14" t="s">
        <v>3696</v>
      </c>
      <c r="D1691" s="15" t="n">
        <v>6</v>
      </c>
      <c r="E1691" s="16" t="n">
        <f aca="false">F1691/2</f>
        <v>50</v>
      </c>
      <c r="F1691" s="16" t="n">
        <v>100</v>
      </c>
      <c r="G1691" s="15" t="s">
        <v>36</v>
      </c>
      <c r="H1691" s="17" t="s">
        <v>25</v>
      </c>
      <c r="I1691" s="18" t="s">
        <v>26</v>
      </c>
      <c r="J1691" s="15" t="n">
        <v>2026</v>
      </c>
      <c r="K1691" s="19" t="s">
        <v>27</v>
      </c>
      <c r="L1691" s="15" t="s">
        <v>28</v>
      </c>
      <c r="M1691" s="15" t="s">
        <v>33</v>
      </c>
      <c r="N1691" s="17"/>
      <c r="O1691" s="15"/>
      <c r="P1691" s="15"/>
      <c r="Q1691" s="21"/>
      <c r="R1691" s="21"/>
      <c r="S1691" s="21" t="s">
        <v>18</v>
      </c>
      <c r="T1691" s="31" t="n">
        <v>45918</v>
      </c>
      <c r="U1691" s="24"/>
    </row>
    <row r="1692" s="25" customFormat="true" ht="41.4" hidden="false" customHeight="false" outlineLevel="0" collapsed="false">
      <c r="A1692" s="36" t="s">
        <v>3697</v>
      </c>
      <c r="B1692" s="26"/>
      <c r="C1692" s="14" t="s">
        <v>3696</v>
      </c>
      <c r="D1692" s="15" t="n">
        <v>12</v>
      </c>
      <c r="E1692" s="16" t="n">
        <f aca="false">F1692/2</f>
        <v>50</v>
      </c>
      <c r="F1692" s="16" t="n">
        <v>100</v>
      </c>
      <c r="G1692" s="15" t="s">
        <v>36</v>
      </c>
      <c r="H1692" s="17" t="s">
        <v>25</v>
      </c>
      <c r="I1692" s="18" t="s">
        <v>26</v>
      </c>
      <c r="J1692" s="15" t="n">
        <v>2026</v>
      </c>
      <c r="K1692" s="19" t="s">
        <v>27</v>
      </c>
      <c r="L1692" s="15" t="s">
        <v>28</v>
      </c>
      <c r="M1692" s="15" t="s">
        <v>33</v>
      </c>
      <c r="N1692" s="17"/>
      <c r="O1692" s="15"/>
      <c r="P1692" s="15"/>
      <c r="Q1692" s="21"/>
      <c r="R1692" s="21"/>
      <c r="S1692" s="21" t="s">
        <v>18</v>
      </c>
      <c r="T1692" s="31" t="n">
        <v>45918</v>
      </c>
      <c r="U1692" s="24"/>
    </row>
    <row r="1693" s="25" customFormat="true" ht="41.4" hidden="false" customHeight="false" outlineLevel="0" collapsed="false">
      <c r="A1693" s="36" t="s">
        <v>3698</v>
      </c>
      <c r="B1693" s="26"/>
      <c r="C1693" s="14" t="s">
        <v>3696</v>
      </c>
      <c r="D1693" s="15" t="n">
        <v>4</v>
      </c>
      <c r="E1693" s="16" t="n">
        <f aca="false">F1693/2</f>
        <v>50</v>
      </c>
      <c r="F1693" s="16" t="n">
        <v>100</v>
      </c>
      <c r="G1693" s="15" t="s">
        <v>36</v>
      </c>
      <c r="H1693" s="17" t="s">
        <v>25</v>
      </c>
      <c r="I1693" s="18" t="s">
        <v>26</v>
      </c>
      <c r="J1693" s="15" t="n">
        <v>2026</v>
      </c>
      <c r="K1693" s="19" t="s">
        <v>27</v>
      </c>
      <c r="L1693" s="15" t="s">
        <v>28</v>
      </c>
      <c r="M1693" s="15" t="s">
        <v>33</v>
      </c>
      <c r="N1693" s="17"/>
      <c r="O1693" s="15"/>
      <c r="P1693" s="15"/>
      <c r="Q1693" s="21"/>
      <c r="R1693" s="21"/>
      <c r="S1693" s="21" t="s">
        <v>18</v>
      </c>
      <c r="T1693" s="31" t="n">
        <v>45918</v>
      </c>
      <c r="U1693" s="24"/>
    </row>
  </sheetData>
  <autoFilter ref="A1:U1693"/>
  <hyperlinks>
    <hyperlink ref="I3" r:id="rId1" display="https://eivis.ru/"/>
    <hyperlink ref="I4" r:id="rId2" display="https://eivis.ru/"/>
    <hyperlink ref="I5" r:id="rId3" display="https://eivis.ru/"/>
    <hyperlink ref="I6" r:id="rId4" display="https://eivis.ru/"/>
    <hyperlink ref="I7" r:id="rId5" display="https://eivis.ru/"/>
    <hyperlink ref="I8" r:id="rId6" display="https://eivis.ru/"/>
    <hyperlink ref="I9" r:id="rId7" display="https://eivis.ru/"/>
    <hyperlink ref="I10" r:id="rId8" display="https://eivis.ru/"/>
    <hyperlink ref="I11" r:id="rId9" display="https://eivis.ru/"/>
    <hyperlink ref="I12" r:id="rId10" display="https://eivis.ru/"/>
    <hyperlink ref="I14" r:id="rId11" display="https://eivis.ru/"/>
    <hyperlink ref="I15" r:id="rId12" display="https://eivis.ru/"/>
    <hyperlink ref="I16" r:id="rId13" display="https://eivis.ru/"/>
    <hyperlink ref="I17" r:id="rId14" display="https://eivis.ru/"/>
    <hyperlink ref="I18" r:id="rId15" display="https://eivis.ru/"/>
    <hyperlink ref="I19" r:id="rId16" display="https://eivis.ru/"/>
    <hyperlink ref="I20" r:id="rId17" display="https://eivis.ru/"/>
    <hyperlink ref="I21" r:id="rId18" display="https://eivis.ru/"/>
    <hyperlink ref="I22" r:id="rId19" display="https://eivis.ru/"/>
    <hyperlink ref="I25" r:id="rId20" display="https://eivis.ru/"/>
    <hyperlink ref="I26" r:id="rId21" display="https://eivis.ru/"/>
    <hyperlink ref="I27" r:id="rId22" display="https://eivis.ru/"/>
    <hyperlink ref="I28" r:id="rId23" display="https://eivis.ru/"/>
    <hyperlink ref="I29" r:id="rId24" display="https://eivis.ru/"/>
    <hyperlink ref="I30" r:id="rId25" display="https://eivis.ru/"/>
    <hyperlink ref="I32" r:id="rId26" display="https://eivis.ru/"/>
    <hyperlink ref="I34" r:id="rId27" display="https://eivis.ru/"/>
    <hyperlink ref="I35" r:id="rId28" display="https://eivis.ru/"/>
    <hyperlink ref="I37" r:id="rId29" display="https://eivis.ru/"/>
    <hyperlink ref="I38" r:id="rId30" display="https://eivis.ru/"/>
    <hyperlink ref="I39" r:id="rId31" display="https://eivis.ru/"/>
    <hyperlink ref="I40" r:id="rId32" display="https://eivis.ru/"/>
    <hyperlink ref="I41" r:id="rId33" display="https://eivis.ru/"/>
    <hyperlink ref="I42" r:id="rId34" display="https://eivis.ru/"/>
    <hyperlink ref="I43" r:id="rId35" display="https://eivis.ru/"/>
    <hyperlink ref="I44" r:id="rId36" display="https://eivis.ru/"/>
    <hyperlink ref="I45" r:id="rId37" display="https://eivis.ru/"/>
    <hyperlink ref="I46" r:id="rId38" display="https://eivis.ru/"/>
    <hyperlink ref="I47" r:id="rId39" display="https://eivis.ru/"/>
    <hyperlink ref="I48" r:id="rId40" display="https://eivis.ru/"/>
    <hyperlink ref="I49" r:id="rId41" display="https://eivis.ru/"/>
    <hyperlink ref="I50" r:id="rId42" display="https://eivis.ru/"/>
    <hyperlink ref="I52" r:id="rId43" display="https://eivis.ru/"/>
    <hyperlink ref="I53" r:id="rId44" display="https://eivis.ru/"/>
    <hyperlink ref="I55" r:id="rId45" display="https://eivis.ru/"/>
    <hyperlink ref="I57" r:id="rId46" display="https://eivis.ru/"/>
    <hyperlink ref="I59" r:id="rId47" display="https://eivis.ru/"/>
    <hyperlink ref="I60" r:id="rId48" display="https://eivis.ru/"/>
    <hyperlink ref="I61" r:id="rId49" display="https://eivis.ru/"/>
    <hyperlink ref="I62" r:id="rId50" display="https://eivis.ru/"/>
    <hyperlink ref="I63" r:id="rId51" display="https://eivis.ru/"/>
    <hyperlink ref="I64" r:id="rId52" display="https://eivis.ru/"/>
    <hyperlink ref="I65" r:id="rId53" display="https://eivis.ru/"/>
    <hyperlink ref="I66" r:id="rId54" display="https://eivis.ru/"/>
    <hyperlink ref="I67" r:id="rId55" display="https://eivis.ru/"/>
    <hyperlink ref="I68" r:id="rId56" display="https://eivis.ru/"/>
    <hyperlink ref="I69" r:id="rId57" display="https://eivis.ru/"/>
    <hyperlink ref="I73" r:id="rId58" display="https://eivis.ru/"/>
    <hyperlink ref="I74" r:id="rId59" display="https://eivis.ru/"/>
    <hyperlink ref="I75" r:id="rId60" display="https://eivis.ru/"/>
    <hyperlink ref="I76" r:id="rId61" display="https://eivis.ru/"/>
    <hyperlink ref="I77" r:id="rId62" display="https://eivis.ru/"/>
    <hyperlink ref="I79" r:id="rId63" display="https://eivis.ru/"/>
    <hyperlink ref="I80" r:id="rId64" display="https://eivis.ru/"/>
    <hyperlink ref="I82" r:id="rId65" display="https://eivis.ru/"/>
    <hyperlink ref="I83" r:id="rId66" display="https://eivis.ru/"/>
    <hyperlink ref="I84" r:id="rId67" display="https://eivis.ru/"/>
    <hyperlink ref="I85" r:id="rId68" display="https://eivis.ru/"/>
    <hyperlink ref="I86" r:id="rId69" display="https://eivis.ru/"/>
    <hyperlink ref="I87" r:id="rId70" display="https://eivis.ru/"/>
    <hyperlink ref="I92" r:id="rId71" display="https://eivis.ru/"/>
    <hyperlink ref="I93" r:id="rId72" display="https://eivis.ru/"/>
    <hyperlink ref="I94" r:id="rId73" display="https://eivis.ru/"/>
    <hyperlink ref="I95" r:id="rId74" display="https://eivis.ru/"/>
    <hyperlink ref="I96" r:id="rId75" display="https://eivis.ru/"/>
    <hyperlink ref="I99" r:id="rId76" display="https://eivis.ru/"/>
    <hyperlink ref="I100" r:id="rId77" display="https://eivis.ru/"/>
    <hyperlink ref="I101" r:id="rId78" display="https://eivis.ru/"/>
    <hyperlink ref="I102" r:id="rId79" display="https://eivis.ru/"/>
    <hyperlink ref="I103" r:id="rId80" display="https://eivis.ru/"/>
    <hyperlink ref="I104" r:id="rId81" display="https://eivis.ru/"/>
    <hyperlink ref="I105" r:id="rId82" display="https://eivis.ru/"/>
    <hyperlink ref="I108" r:id="rId83" display="https://eivis.ru/"/>
    <hyperlink ref="I109" r:id="rId84" display="https://eivis.ru/"/>
    <hyperlink ref="I110" r:id="rId85" display="https://eivis.ru/"/>
    <hyperlink ref="I111" r:id="rId86" display="https://eivis.ru/"/>
    <hyperlink ref="I112" r:id="rId87" display="https://eivis.ru/"/>
    <hyperlink ref="I113" r:id="rId88" display="https://eivis.ru/"/>
    <hyperlink ref="I114" r:id="rId89" display="https://eivis.ru/"/>
    <hyperlink ref="I115" r:id="rId90" display="https://eivis.ru/"/>
    <hyperlink ref="I116" r:id="rId91" display="https://eivis.ru/"/>
    <hyperlink ref="I117" r:id="rId92" display="https://eivis.ru/"/>
    <hyperlink ref="I118" r:id="rId93" display="https://eivis.ru/"/>
    <hyperlink ref="I119" r:id="rId94" display="https://eivis.ru/"/>
    <hyperlink ref="I120" r:id="rId95" display="https://eivis.ru/"/>
    <hyperlink ref="I121" r:id="rId96" display="https://eivis.ru/"/>
    <hyperlink ref="I125" r:id="rId97" display="https://eivis.ru/"/>
    <hyperlink ref="I126" r:id="rId98" display="https://eivis.ru/"/>
    <hyperlink ref="I127" r:id="rId99" display="https://eivis.ru/"/>
    <hyperlink ref="I128" r:id="rId100" display="https://eivis.ru/"/>
    <hyperlink ref="I129" r:id="rId101" display="https://eivis.ru/"/>
    <hyperlink ref="I131" r:id="rId102" display="https://eivis.ru/"/>
    <hyperlink ref="I132" r:id="rId103" display="https://eivis.ru/"/>
    <hyperlink ref="I133" r:id="rId104" display="https://eivis.ru/"/>
    <hyperlink ref="I134" r:id="rId105" display="https://eivis.ru/"/>
    <hyperlink ref="I135" r:id="rId106" display="https://eivis.ru/"/>
    <hyperlink ref="I136" r:id="rId107" display="https://eivis.ru/"/>
    <hyperlink ref="I137" r:id="rId108" display="https://eivis.ru/"/>
    <hyperlink ref="I138" r:id="rId109" display="https://eivis.ru/"/>
    <hyperlink ref="I139" r:id="rId110" display="https://eivis.ru/"/>
    <hyperlink ref="I140" r:id="rId111" display="https://eivis.ru/"/>
    <hyperlink ref="I141" r:id="rId112" display="https://eivis.ru/"/>
    <hyperlink ref="I142" r:id="rId113" display="https://eivis.ru/"/>
    <hyperlink ref="I144" r:id="rId114" display="https://eivis.ru/"/>
    <hyperlink ref="I145" r:id="rId115" display="https://eivis.ru/"/>
    <hyperlink ref="I146" r:id="rId116" display="https://eivis.ru/"/>
    <hyperlink ref="I148" r:id="rId117" display="https://eivis.ru/"/>
    <hyperlink ref="I149" r:id="rId118" display="https://eivis.ru/"/>
    <hyperlink ref="I151" r:id="rId119" display="https://eivis.ru/"/>
    <hyperlink ref="I152" r:id="rId120" display="https://eivis.ru/"/>
    <hyperlink ref="I153" r:id="rId121" display="https://eivis.ru/"/>
    <hyperlink ref="I154" r:id="rId122" display="https://eivis.ru/"/>
    <hyperlink ref="I155" r:id="rId123" display="https://eivis.ru/"/>
    <hyperlink ref="I156" r:id="rId124" display="https://eivis.ru/"/>
    <hyperlink ref="I158" r:id="rId125" display="https://eivis.ru/"/>
    <hyperlink ref="I159" r:id="rId126" display="https://eivis.ru/"/>
    <hyperlink ref="I160" r:id="rId127" display="https://eivis.ru/"/>
    <hyperlink ref="I161" r:id="rId128" display="https://eivis.ru/"/>
    <hyperlink ref="I162" r:id="rId129" display="https://eivis.ru/"/>
    <hyperlink ref="I163" r:id="rId130" display="https://eivis.ru/"/>
    <hyperlink ref="I164" r:id="rId131" display="https://eivis.ru/"/>
    <hyperlink ref="I165" r:id="rId132" display="https://eivis.ru/"/>
    <hyperlink ref="I166" r:id="rId133" display="https://eivis.ru/"/>
    <hyperlink ref="I168" r:id="rId134" display="https://eivis.ru/"/>
    <hyperlink ref="I170" r:id="rId135" display="https://eivis.ru/"/>
    <hyperlink ref="I171" r:id="rId136" display="https://eivis.ru/"/>
    <hyperlink ref="I172" r:id="rId137" display="https://eivis.ru/"/>
    <hyperlink ref="I173" r:id="rId138" display="https://eivis.ru/"/>
    <hyperlink ref="I175" r:id="rId139" display="https://eivis.ru/"/>
    <hyperlink ref="I176" r:id="rId140" display="https://eivis.ru/"/>
    <hyperlink ref="I177" r:id="rId141" display="https://eivis.ru/"/>
    <hyperlink ref="I178" r:id="rId142" display="https://eivis.ru/"/>
    <hyperlink ref="I179" r:id="rId143" display="https://eivis.ru/"/>
    <hyperlink ref="I180" r:id="rId144" display="https://eivis.ru/"/>
    <hyperlink ref="I181" r:id="rId145" display="https://eivis.ru/"/>
    <hyperlink ref="I182" r:id="rId146" display="https://eivis.ru/"/>
    <hyperlink ref="I183" r:id="rId147" display="https://eivis.ru/"/>
    <hyperlink ref="I184" r:id="rId148" display="https://eivis.ru/"/>
    <hyperlink ref="I185" r:id="rId149" display="https://eivis.ru/"/>
    <hyperlink ref="I186" r:id="rId150" display="https://eivis.ru/"/>
    <hyperlink ref="I188" r:id="rId151" display="https://eivis.ru/"/>
    <hyperlink ref="I189" r:id="rId152" display="https://eivis.ru/"/>
    <hyperlink ref="I190" r:id="rId153" display="https://eivis.ru/"/>
    <hyperlink ref="I191" r:id="rId154" display="https://eivis.ru/"/>
    <hyperlink ref="I192" r:id="rId155" display="https://eivis.ru/"/>
    <hyperlink ref="I193" r:id="rId156" display="https://eivis.ru/"/>
    <hyperlink ref="I194" r:id="rId157" display="https://eivis.ru/"/>
    <hyperlink ref="I195" r:id="rId158" display="https://eivis.ru/"/>
    <hyperlink ref="I197" r:id="rId159" display="https://eivis.ru/"/>
    <hyperlink ref="I198" r:id="rId160" display="https://eivis.ru/"/>
    <hyperlink ref="I199" r:id="rId161" display="https://eivis.ru/"/>
    <hyperlink ref="I201" r:id="rId162" display="https://eivis.ru/"/>
    <hyperlink ref="I203" r:id="rId163" display="https://eivis.ru/"/>
    <hyperlink ref="I204" r:id="rId164" display="https://eivis.ru/"/>
    <hyperlink ref="I205" r:id="rId165" display="https://eivis.ru/"/>
    <hyperlink ref="I206" r:id="rId166" display="https://eivis.ru/"/>
    <hyperlink ref="I207" r:id="rId167" display="https://eivis.ru/"/>
    <hyperlink ref="I210" r:id="rId168" display="https://eivis.ru/"/>
    <hyperlink ref="I211" r:id="rId169" display="https://eivis.ru/"/>
    <hyperlink ref="I212" r:id="rId170" display="https://eivis.ru/"/>
    <hyperlink ref="I213" r:id="rId171" display="https://eivis.ru/"/>
    <hyperlink ref="I214" r:id="rId172" display="https://eivis.ru/"/>
    <hyperlink ref="I216" r:id="rId173" display="https://eivis.ru/"/>
    <hyperlink ref="I217" r:id="rId174" display="https://eivis.ru/"/>
    <hyperlink ref="I219" r:id="rId175" display="https://eivis.ru/"/>
    <hyperlink ref="I220" r:id="rId176" display="https://eivis.ru/"/>
    <hyperlink ref="I221" r:id="rId177" display="https://eivis.ru/"/>
    <hyperlink ref="I222" r:id="rId178" display="https://eivis.ru/"/>
    <hyperlink ref="I223" r:id="rId179" display="https://eivis.ru/"/>
    <hyperlink ref="I224" r:id="rId180" display="https://eivis.ru/"/>
    <hyperlink ref="I225" r:id="rId181" display="https://eivis.ru/"/>
    <hyperlink ref="I226" r:id="rId182" display="https://eivis.ru/"/>
    <hyperlink ref="I228" r:id="rId183" display="https://eivis.ru/"/>
    <hyperlink ref="I229" r:id="rId184" display="https://eivis.ru/"/>
    <hyperlink ref="I230" r:id="rId185" display="https://eivis.ru/"/>
    <hyperlink ref="I231" r:id="rId186" display="https://eivis.ru/"/>
    <hyperlink ref="I232" r:id="rId187" display="https://eivis.ru/"/>
    <hyperlink ref="I233" r:id="rId188" display="https://eivis.ru/"/>
    <hyperlink ref="I234" r:id="rId189" display="https://eivis.ru/"/>
    <hyperlink ref="I235" r:id="rId190" display="https://eivis.ru/"/>
    <hyperlink ref="I236" r:id="rId191" display="https://eivis.ru/"/>
    <hyperlink ref="I237" r:id="rId192" display="https://eivis.ru/"/>
    <hyperlink ref="I238" r:id="rId193" display="https://eivis.ru/"/>
    <hyperlink ref="I239" r:id="rId194" display="https://eivis.ru/"/>
    <hyperlink ref="I240" r:id="rId195" display="https://eivis.ru/"/>
    <hyperlink ref="I241" r:id="rId196" display="https://eivis.ru/"/>
    <hyperlink ref="I242" r:id="rId197" display="https://eivis.ru/"/>
    <hyperlink ref="I243" r:id="rId198" display="https://eivis.ru/"/>
    <hyperlink ref="I244" r:id="rId199" display="https://eivis.ru/"/>
    <hyperlink ref="I245" r:id="rId200" display="https://eivis.ru/"/>
    <hyperlink ref="I246" r:id="rId201" display="https://eivis.ru/"/>
    <hyperlink ref="I247" r:id="rId202" display="https://eivis.ru/"/>
    <hyperlink ref="I248" r:id="rId203" display="https://eivis.ru/"/>
    <hyperlink ref="I249" r:id="rId204" display="https://eivis.ru/"/>
    <hyperlink ref="I250" r:id="rId205" display="https://eivis.ru/"/>
    <hyperlink ref="I251" r:id="rId206" display="https://eivis.ru/"/>
    <hyperlink ref="I252" r:id="rId207" display="https://eivis.ru/"/>
    <hyperlink ref="I253" r:id="rId208" display="https://eivis.ru/"/>
    <hyperlink ref="I254" r:id="rId209" display="https://eivis.ru/"/>
    <hyperlink ref="I255" r:id="rId210" display="https://eivis.ru/"/>
    <hyperlink ref="I256" r:id="rId211" display="https://eivis.ru/"/>
    <hyperlink ref="I257" r:id="rId212" display="https://eivis.ru/"/>
    <hyperlink ref="I258" r:id="rId213" display="https://eivis.ru/"/>
    <hyperlink ref="I259" r:id="rId214" display="https://eivis.ru/"/>
    <hyperlink ref="I261" r:id="rId215" display="https://eivis.ru/"/>
    <hyperlink ref="I262" r:id="rId216" display="https://eivis.ru/"/>
    <hyperlink ref="I263" r:id="rId217" display="https://eivis.ru/"/>
    <hyperlink ref="I265" r:id="rId218" display="https://eivis.ru/"/>
    <hyperlink ref="I266" r:id="rId219" display="https://eivis.ru/"/>
    <hyperlink ref="I267" r:id="rId220" display="https://eivis.ru/"/>
    <hyperlink ref="I268" r:id="rId221" display="https://eivis.ru/"/>
    <hyperlink ref="I269" r:id="rId222" display="https://eivis.ru/"/>
    <hyperlink ref="I271" r:id="rId223" display="https://eivis.ru/"/>
    <hyperlink ref="I275" r:id="rId224" display="https://eivis.ru/"/>
    <hyperlink ref="I276" r:id="rId225" display="https://eivis.ru/"/>
    <hyperlink ref="I278" r:id="rId226" display="https://eivis.ru/"/>
    <hyperlink ref="I280" r:id="rId227" display="https://eivis.ru/"/>
    <hyperlink ref="I281" r:id="rId228" display="https://eivis.ru/"/>
    <hyperlink ref="I282" r:id="rId229" display="https://eivis.ru/"/>
    <hyperlink ref="I283" r:id="rId230" display="https://eivis.ru/"/>
    <hyperlink ref="I284" r:id="rId231" display="https://eivis.ru/"/>
    <hyperlink ref="I285" r:id="rId232" display="https://eivis.ru/"/>
    <hyperlink ref="I286" r:id="rId233" display="https://eivis.ru/"/>
    <hyperlink ref="I287" r:id="rId234" display="https://eivis.ru/"/>
    <hyperlink ref="I288" r:id="rId235" display="https://eivis.ru/"/>
    <hyperlink ref="I289" r:id="rId236" display="https://eivis.ru/"/>
    <hyperlink ref="I290" r:id="rId237" display="https://eivis.ru/"/>
    <hyperlink ref="I291" r:id="rId238" display="https://eivis.ru/"/>
    <hyperlink ref="I292" r:id="rId239" display="https://eivis.ru/"/>
    <hyperlink ref="I293" r:id="rId240" display="https://eivis.ru/"/>
    <hyperlink ref="I294" r:id="rId241" display="https://eivis.ru/"/>
    <hyperlink ref="I295" r:id="rId242" display="https://eivis.ru/"/>
    <hyperlink ref="I296" r:id="rId243" display="https://eivis.ru/"/>
    <hyperlink ref="I297" r:id="rId244" display="https://eivis.ru/"/>
    <hyperlink ref="I298" r:id="rId245" display="https://eivis.ru/"/>
    <hyperlink ref="I299" r:id="rId246" display="https://eivis.ru/"/>
    <hyperlink ref="I300" r:id="rId247" display="https://eivis.ru/"/>
    <hyperlink ref="I301" r:id="rId248" display="https://eivis.ru/"/>
    <hyperlink ref="I303" r:id="rId249" display="https://eivis.ru/"/>
    <hyperlink ref="I304" r:id="rId250" display="https://eivis.ru/"/>
    <hyperlink ref="I305" r:id="rId251" display="https://eivis.ru/"/>
    <hyperlink ref="I306" r:id="rId252" display="https://eivis.ru/"/>
    <hyperlink ref="I307" r:id="rId253" display="https://eivis.ru/"/>
    <hyperlink ref="I308" r:id="rId254" display="https://eivis.ru/"/>
    <hyperlink ref="I309" r:id="rId255" display="https://eivis.ru/"/>
    <hyperlink ref="I310" r:id="rId256" display="https://eivis.ru/"/>
    <hyperlink ref="I311" r:id="rId257" display="https://eivis.ru/"/>
    <hyperlink ref="I312" r:id="rId258" display="https://eivis.ru/"/>
    <hyperlink ref="I313" r:id="rId259" display="https://eivis.ru/"/>
    <hyperlink ref="I314" r:id="rId260" display="https://eivis.ru/"/>
    <hyperlink ref="I315" r:id="rId261" display="https://eivis.ru/"/>
    <hyperlink ref="I316" r:id="rId262" display="https://eivis.ru/"/>
    <hyperlink ref="I317" r:id="rId263" display="https://eivis.ru/"/>
    <hyperlink ref="I318" r:id="rId264" display="https://eivis.ru/"/>
    <hyperlink ref="I319" r:id="rId265" display="https://eivis.ru/"/>
    <hyperlink ref="I320" r:id="rId266" display="https://eivis.ru/"/>
    <hyperlink ref="I321" r:id="rId267" display="https://eivis.ru/"/>
    <hyperlink ref="I322" r:id="rId268" display="https://eivis.ru/"/>
    <hyperlink ref="I323" r:id="rId269" display="https://eivis.ru/"/>
    <hyperlink ref="I324" r:id="rId270" display="https://eivis.ru/"/>
    <hyperlink ref="I325" r:id="rId271" display="https://eivis.ru/"/>
    <hyperlink ref="I326" r:id="rId272" display="https://eivis.ru/"/>
    <hyperlink ref="I327" r:id="rId273" display="https://eivis.ru/"/>
    <hyperlink ref="I328" r:id="rId274" display="https://eivis.ru/"/>
    <hyperlink ref="I329" r:id="rId275" display="https://eivis.ru/"/>
    <hyperlink ref="I330" r:id="rId276" display="https://eivis.ru/"/>
    <hyperlink ref="I332" r:id="rId277" display="https://eivis.ru/"/>
    <hyperlink ref="I333" r:id="rId278" display="https://eivis.ru/"/>
    <hyperlink ref="I334" r:id="rId279" display="https://eivis.ru/"/>
    <hyperlink ref="I335" r:id="rId280" display="https://eivis.ru/"/>
    <hyperlink ref="I336" r:id="rId281" display="https://eivis.ru/"/>
    <hyperlink ref="I337" r:id="rId282" display="https://eivis.ru/"/>
    <hyperlink ref="I338" r:id="rId283" display="https://eivis.ru/"/>
    <hyperlink ref="I339" r:id="rId284" display="https://eivis.ru/"/>
    <hyperlink ref="I340" r:id="rId285" display="https://eivis.ru/"/>
    <hyperlink ref="I341" r:id="rId286" display="https://eivis.ru/"/>
    <hyperlink ref="I342" r:id="rId287" display="https://eivis.ru/"/>
    <hyperlink ref="I343" r:id="rId288" display="https://eivis.ru/"/>
    <hyperlink ref="I344" r:id="rId289" display="https://eivis.ru/"/>
    <hyperlink ref="I345" r:id="rId290" display="https://eivis.ru/"/>
    <hyperlink ref="I347" r:id="rId291" display="https://eivis.ru/"/>
    <hyperlink ref="I348" r:id="rId292" display="https://eivis.ru/"/>
    <hyperlink ref="I349" r:id="rId293" display="https://eivis.ru/"/>
    <hyperlink ref="I350" r:id="rId294" display="https://eivis.ru/"/>
    <hyperlink ref="I351" r:id="rId295" display="https://eivis.ru/"/>
    <hyperlink ref="I352" r:id="rId296" display="https://eivis.ru/"/>
    <hyperlink ref="I353" r:id="rId297" display="https://eivis.ru/"/>
    <hyperlink ref="I356" r:id="rId298" display="https://eivis.ru/"/>
    <hyperlink ref="I357" r:id="rId299" display="https://eivis.ru/"/>
    <hyperlink ref="I358" r:id="rId300" display="https://eivis.ru/"/>
    <hyperlink ref="I359" r:id="rId301" display="https://eivis.ru/"/>
    <hyperlink ref="I360" r:id="rId302" display="https://eivis.ru/"/>
    <hyperlink ref="I361" r:id="rId303" display="https://eivis.ru/"/>
    <hyperlink ref="I362" r:id="rId304" display="https://eivis.ru/"/>
    <hyperlink ref="I363" r:id="rId305" display="https://eivis.ru/"/>
    <hyperlink ref="I364" r:id="rId306" display="https://eivis.ru/"/>
    <hyperlink ref="I365" r:id="rId307" display="https://eivis.ru/"/>
    <hyperlink ref="I366" r:id="rId308" display="https://eivis.ru/"/>
    <hyperlink ref="I367" r:id="rId309" display="https://eivis.ru/"/>
    <hyperlink ref="I368" r:id="rId310" display="https://eivis.ru/"/>
    <hyperlink ref="I370" r:id="rId311" display="https://eivis.ru/"/>
    <hyperlink ref="I371" r:id="rId312" display="https://eivis.ru/"/>
    <hyperlink ref="I373" r:id="rId313" display="https://eivis.ru/"/>
    <hyperlink ref="I374" r:id="rId314" display="https://eivis.ru/"/>
    <hyperlink ref="I375" r:id="rId315" display="https://eivis.ru/"/>
    <hyperlink ref="I378" r:id="rId316" display="https://eivis.ru/"/>
    <hyperlink ref="I379" r:id="rId317" display="https://eivis.ru/"/>
    <hyperlink ref="I380" r:id="rId318" display="https://eivis.ru/"/>
    <hyperlink ref="I381" r:id="rId319" display="https://eivis.ru/"/>
    <hyperlink ref="I383" r:id="rId320" display="https://eivis.ru/"/>
    <hyperlink ref="I384" r:id="rId321" display="https://eivis.ru/"/>
    <hyperlink ref="I385" r:id="rId322" display="https://eivis.ru/"/>
    <hyperlink ref="I386" r:id="rId323" display="https://eivis.ru/"/>
    <hyperlink ref="I387" r:id="rId324" display="https://eivis.ru/"/>
    <hyperlink ref="I389" r:id="rId325" display="https://eivis.ru/"/>
    <hyperlink ref="I390" r:id="rId326" display="https://eivis.ru/"/>
    <hyperlink ref="I391" r:id="rId327" display="https://eivis.ru/"/>
    <hyperlink ref="I392" r:id="rId328" display="https://eivis.ru/"/>
    <hyperlink ref="I393" r:id="rId329" display="https://eivis.ru/"/>
    <hyperlink ref="I394" r:id="rId330" display="https://eivis.ru/"/>
    <hyperlink ref="I395" r:id="rId331" display="https://eivis.ru/"/>
    <hyperlink ref="I396" r:id="rId332" display="https://eivis.ru/"/>
    <hyperlink ref="I397" r:id="rId333" display="https://eivis.ru/"/>
    <hyperlink ref="I398" r:id="rId334" display="https://eivis.ru/"/>
    <hyperlink ref="I399" r:id="rId335" display="https://eivis.ru/"/>
    <hyperlink ref="I401" r:id="rId336" display="https://eivis.ru/"/>
    <hyperlink ref="I403" r:id="rId337" display="https://eivis.ru/"/>
    <hyperlink ref="I405" r:id="rId338" display="https://eivis.ru/"/>
    <hyperlink ref="I406" r:id="rId339" display="https://eivis.ru/"/>
    <hyperlink ref="I407" r:id="rId340" display="https://eivis.ru/"/>
    <hyperlink ref="I408" r:id="rId341" display="https://eivis.ru/"/>
    <hyperlink ref="I409" r:id="rId342" display="https://eivis.ru/"/>
    <hyperlink ref="I410" r:id="rId343" display="https://eivis.ru/"/>
    <hyperlink ref="I411" r:id="rId344" display="https://eivis.ru/"/>
    <hyperlink ref="I412" r:id="rId345" display="https://eivis.ru/"/>
    <hyperlink ref="I413" r:id="rId346" display="https://eivis.ru/"/>
    <hyperlink ref="I414" r:id="rId347" display="https://eivis.ru/"/>
    <hyperlink ref="I415" r:id="rId348" display="https://eivis.ru/"/>
    <hyperlink ref="I416" r:id="rId349" display="https://eivis.ru/"/>
    <hyperlink ref="I417" r:id="rId350" display="https://eivis.ru/"/>
    <hyperlink ref="I418" r:id="rId351" display="https://eivis.ru/"/>
    <hyperlink ref="I422" r:id="rId352" display="https://eivis.ru/"/>
    <hyperlink ref="I423" r:id="rId353" display="https://eivis.ru/"/>
    <hyperlink ref="I424" r:id="rId354" display="https://eivis.ru/"/>
    <hyperlink ref="I425" r:id="rId355" display="https://eivis.ru/"/>
    <hyperlink ref="I427" r:id="rId356" display="https://eivis.ru/"/>
    <hyperlink ref="I429" r:id="rId357" display="https://eivis.ru/"/>
    <hyperlink ref="I431" r:id="rId358" display="https://eivis.ru/"/>
    <hyperlink ref="I433" r:id="rId359" display="https://eivis.ru/"/>
    <hyperlink ref="I434" r:id="rId360" display="https://eivis.ru/"/>
    <hyperlink ref="I435" r:id="rId361" display="https://eivis.ru/"/>
    <hyperlink ref="I436" r:id="rId362" display="https://eivis.ru/"/>
    <hyperlink ref="I437" r:id="rId363" display="https://eivis.ru/"/>
    <hyperlink ref="I438" r:id="rId364" display="https://eivis.ru/"/>
    <hyperlink ref="I439" r:id="rId365" display="https://eivis.ru/"/>
    <hyperlink ref="I440" r:id="rId366" display="https://eivis.ru/"/>
    <hyperlink ref="I442" r:id="rId367" display="https://eivis.ru/"/>
    <hyperlink ref="I445" r:id="rId368" display="https://eivis.ru/"/>
    <hyperlink ref="I446" r:id="rId369" display="https://eivis.ru/"/>
    <hyperlink ref="I447" r:id="rId370" display="https://eivis.ru/"/>
    <hyperlink ref="I449" r:id="rId371" display="https://eivis.ru/"/>
    <hyperlink ref="I450" r:id="rId372" display="https://eivis.ru/"/>
    <hyperlink ref="I452" r:id="rId373" display="https://eivis.ru/"/>
    <hyperlink ref="I453" r:id="rId374" display="https://eivis.ru/"/>
    <hyperlink ref="I454" r:id="rId375" display="https://eivis.ru/"/>
    <hyperlink ref="I455" r:id="rId376" display="https://eivis.ru/"/>
    <hyperlink ref="I457" r:id="rId377" display="https://eivis.ru/"/>
    <hyperlink ref="I458" r:id="rId378" display="https://eivis.ru/"/>
    <hyperlink ref="I459" r:id="rId379" display="https://eivis.ru/"/>
    <hyperlink ref="I460" r:id="rId380" display="https://eivis.ru/"/>
    <hyperlink ref="I461" r:id="rId381" display="https://eivis.ru/"/>
    <hyperlink ref="I462" r:id="rId382" display="https://eivis.ru/"/>
    <hyperlink ref="I463" r:id="rId383" display="https://eivis.ru/"/>
    <hyperlink ref="I465" r:id="rId384" display="https://eivis.ru/"/>
    <hyperlink ref="I466" r:id="rId385" display="https://eivis.ru/"/>
    <hyperlink ref="I468" r:id="rId386" display="https://eivis.ru/"/>
    <hyperlink ref="I472" r:id="rId387" display="https://eivis.ru/"/>
    <hyperlink ref="I473" r:id="rId388" display="https://eivis.ru/"/>
    <hyperlink ref="I474" r:id="rId389" display="https://eivis.ru/"/>
    <hyperlink ref="I475" r:id="rId390" display="https://eivis.ru/"/>
    <hyperlink ref="I476" r:id="rId391" display="https://eivis.ru/"/>
    <hyperlink ref="I477" r:id="rId392" display="https://eivis.ru/"/>
    <hyperlink ref="I478" r:id="rId393" display="https://eivis.ru/"/>
    <hyperlink ref="I479" r:id="rId394" display="https://eivis.ru/"/>
    <hyperlink ref="I480" r:id="rId395" display="https://eivis.ru/"/>
    <hyperlink ref="I482" r:id="rId396" display="https://eivis.ru/"/>
    <hyperlink ref="I484" r:id="rId397" display="https://eivis.ru/"/>
    <hyperlink ref="I485" r:id="rId398" display="https://eivis.ru/"/>
    <hyperlink ref="I486" r:id="rId399" display="https://eivis.ru/"/>
    <hyperlink ref="I488" r:id="rId400" display="https://eivis.ru/"/>
    <hyperlink ref="I489" r:id="rId401" display="https://eivis.ru/"/>
    <hyperlink ref="I491" r:id="rId402" display="https://eivis.ru/"/>
    <hyperlink ref="I492" r:id="rId403" display="https://eivis.ru/"/>
    <hyperlink ref="I493" r:id="rId404" display="https://eivis.ru/"/>
    <hyperlink ref="I494" r:id="rId405" display="https://eivis.ru/"/>
    <hyperlink ref="I495" r:id="rId406" display="https://eivis.ru/"/>
    <hyperlink ref="I496" r:id="rId407" display="https://eivis.ru/"/>
    <hyperlink ref="I497" r:id="rId408" display="https://eivis.ru/"/>
    <hyperlink ref="I498" r:id="rId409" display="https://eivis.ru/"/>
    <hyperlink ref="I500" r:id="rId410" display="https://eivis.ru/"/>
    <hyperlink ref="I501" r:id="rId411" display="https://eivis.ru/"/>
    <hyperlink ref="I502" r:id="rId412" display="https://eivis.ru/"/>
    <hyperlink ref="I503" r:id="rId413" display="https://eivis.ru/"/>
    <hyperlink ref="I504" r:id="rId414" display="https://eivis.ru/"/>
    <hyperlink ref="I505" r:id="rId415" display="https://eivis.ru/"/>
    <hyperlink ref="I506" r:id="rId416" display="https://eivis.ru/"/>
    <hyperlink ref="I508" r:id="rId417" display="https://eivis.ru/"/>
    <hyperlink ref="I510" r:id="rId418" display="https://eivis.ru/"/>
    <hyperlink ref="I511" r:id="rId419" display="https://eivis.ru/"/>
    <hyperlink ref="I512" r:id="rId420" display="https://eivis.ru/"/>
    <hyperlink ref="I513" r:id="rId421" display="https://eivis.ru/"/>
    <hyperlink ref="I514" r:id="rId422" display="https://eivis.ru/"/>
    <hyperlink ref="I515" r:id="rId423" display="https://eivis.ru/"/>
    <hyperlink ref="I516" r:id="rId424" display="https://eivis.ru/"/>
    <hyperlink ref="I517" r:id="rId425" display="https://eivis.ru/"/>
    <hyperlink ref="I519" r:id="rId426" display="https://eivis.ru/"/>
    <hyperlink ref="I521" r:id="rId427" display="https://eivis.ru/"/>
    <hyperlink ref="I524" r:id="rId428" display="https://eivis.ru/"/>
    <hyperlink ref="I525" r:id="rId429" display="https://eivis.ru/"/>
    <hyperlink ref="I526" r:id="rId430" display="https://eivis.ru/"/>
    <hyperlink ref="I527" r:id="rId431" display="https://eivis.ru/"/>
    <hyperlink ref="I531" r:id="rId432" display="https://eivis.ru/"/>
    <hyperlink ref="I532" r:id="rId433" display="https://eivis.ru/"/>
    <hyperlink ref="I533" r:id="rId434" display="https://eivis.ru/"/>
    <hyperlink ref="I534" r:id="rId435" display="https://eivis.ru/"/>
    <hyperlink ref="I535" r:id="rId436" display="https://eivis.ru/"/>
    <hyperlink ref="I537" r:id="rId437" display="https://eivis.ru/"/>
    <hyperlink ref="I538" r:id="rId438" display="https://eivis.ru/"/>
    <hyperlink ref="I539" r:id="rId439" display="https://eivis.ru/"/>
    <hyperlink ref="I540" r:id="rId440" display="https://eivis.ru/"/>
    <hyperlink ref="I541" r:id="rId441" display="https://eivis.ru/"/>
    <hyperlink ref="I542" r:id="rId442" display="https://eivis.ru/"/>
    <hyperlink ref="I543" r:id="rId443" display="https://eivis.ru/"/>
    <hyperlink ref="I545" r:id="rId444" display="https://eivis.ru/"/>
    <hyperlink ref="I546" r:id="rId445" display="https://eivis.ru/"/>
    <hyperlink ref="I547" r:id="rId446" display="https://eivis.ru/"/>
    <hyperlink ref="I548" r:id="rId447" display="https://eivis.ru/"/>
    <hyperlink ref="I549" r:id="rId448" display="https://eivis.ru/"/>
    <hyperlink ref="I551" r:id="rId449" display="https://eivis.ru/"/>
    <hyperlink ref="I552" r:id="rId450" display="https://eivis.ru/"/>
    <hyperlink ref="I553" r:id="rId451" display="https://eivis.ru/"/>
    <hyperlink ref="I554" r:id="rId452" display="https://eivis.ru/"/>
    <hyperlink ref="I555" r:id="rId453" display="https://eivis.ru/"/>
    <hyperlink ref="I556" r:id="rId454" display="https://eivis.ru/"/>
    <hyperlink ref="I557" r:id="rId455" display="https://eivis.ru/"/>
    <hyperlink ref="I558" r:id="rId456" display="https://eivis.ru/"/>
    <hyperlink ref="I559" r:id="rId457" display="https://eivis.ru/"/>
    <hyperlink ref="I560" r:id="rId458" display="https://eivis.ru/"/>
    <hyperlink ref="I561" r:id="rId459" display="https://eivis.ru/"/>
    <hyperlink ref="I562" r:id="rId460" display="https://eivis.ru/"/>
    <hyperlink ref="I563" r:id="rId461" display="https://eivis.ru/"/>
    <hyperlink ref="I564" r:id="rId462" display="https://eivis.ru/"/>
    <hyperlink ref="I565" r:id="rId463" display="https://eivis.ru/"/>
    <hyperlink ref="I566" r:id="rId464" display="https://eivis.ru/"/>
    <hyperlink ref="I567" r:id="rId465" display="https://eivis.ru/"/>
    <hyperlink ref="I568" r:id="rId466" display="https://eivis.ru/"/>
    <hyperlink ref="I569" r:id="rId467" display="https://eivis.ru/"/>
    <hyperlink ref="I570" r:id="rId468" display="https://eivis.ru/"/>
    <hyperlink ref="I571" r:id="rId469" display="https://eivis.ru/"/>
    <hyperlink ref="I572" r:id="rId470" display="https://eivis.ru/"/>
    <hyperlink ref="I573" r:id="rId471" display="https://eivis.ru/"/>
    <hyperlink ref="I574" r:id="rId472" display="https://eivis.ru/"/>
    <hyperlink ref="I575" r:id="rId473" display="https://eivis.ru/"/>
    <hyperlink ref="I577" r:id="rId474" display="https://eivis.ru/"/>
    <hyperlink ref="I578" r:id="rId475" display="https://eivis.ru/"/>
    <hyperlink ref="I579" r:id="rId476" display="https://eivis.ru/"/>
    <hyperlink ref="I580" r:id="rId477" display="https://eivis.ru/"/>
    <hyperlink ref="I581" r:id="rId478" display="https://eivis.ru/"/>
    <hyperlink ref="I583" r:id="rId479" display="https://eivis.ru/"/>
    <hyperlink ref="I584" r:id="rId480" display="https://eivis.ru/"/>
    <hyperlink ref="I585" r:id="rId481" display="https://eivis.ru/"/>
    <hyperlink ref="I586" r:id="rId482" display="https://eivis.ru/"/>
    <hyperlink ref="I589" r:id="rId483" display="https://eivis.ru/"/>
    <hyperlink ref="I590" r:id="rId484" display="https://eivis.ru/"/>
    <hyperlink ref="I591" r:id="rId485" display="https://eivis.ru/"/>
    <hyperlink ref="I592" r:id="rId486" display="https://eivis.ru/"/>
    <hyperlink ref="I593" r:id="rId487" display="https://eivis.ru/"/>
    <hyperlink ref="I594" r:id="rId488" display="https://eivis.ru/"/>
    <hyperlink ref="I595" r:id="rId489" display="https://eivis.ru/"/>
    <hyperlink ref="I596" r:id="rId490" display="https://eivis.ru/"/>
    <hyperlink ref="I597" r:id="rId491" display="https://eivis.ru/"/>
    <hyperlink ref="I598" r:id="rId492" display="https://eivis.ru/"/>
    <hyperlink ref="I599" r:id="rId493" display="https://eivis.ru/"/>
    <hyperlink ref="I600" r:id="rId494" display="https://eivis.ru/"/>
    <hyperlink ref="I602" r:id="rId495" display="https://eivis.ru/"/>
    <hyperlink ref="I603" r:id="rId496" display="https://eivis.ru/"/>
    <hyperlink ref="I604" r:id="rId497" display="https://eivis.ru/"/>
    <hyperlink ref="I605" r:id="rId498" display="https://eivis.ru/"/>
    <hyperlink ref="I606" r:id="rId499" display="https://eivis.ru/"/>
    <hyperlink ref="I607" r:id="rId500" display="https://eivis.ru/"/>
    <hyperlink ref="I608" r:id="rId501" display="https://eivis.ru/"/>
    <hyperlink ref="I609" r:id="rId502" display="https://eivis.ru/"/>
    <hyperlink ref="I610" r:id="rId503" display="https://eivis.ru/"/>
    <hyperlink ref="I611" r:id="rId504" display="https://eivis.ru/"/>
    <hyperlink ref="I612" r:id="rId505" display="https://eivis.ru/"/>
    <hyperlink ref="I613" r:id="rId506" display="https://eivis.ru/"/>
    <hyperlink ref="I621" r:id="rId507" display="https://eivis.ru/"/>
    <hyperlink ref="I622" r:id="rId508" display="https://eivis.ru/"/>
    <hyperlink ref="I623" r:id="rId509" display="https://eivis.ru/"/>
    <hyperlink ref="I625" r:id="rId510" display="https://eivis.ru/"/>
    <hyperlink ref="I626" r:id="rId511" display="https://eivis.ru/"/>
    <hyperlink ref="I627" r:id="rId512" display="https://eivis.ru/"/>
    <hyperlink ref="I628" r:id="rId513" display="https://eivis.ru/"/>
    <hyperlink ref="I629" r:id="rId514" display="https://eivis.ru/"/>
    <hyperlink ref="I630" r:id="rId515" display="https://eivis.ru/"/>
    <hyperlink ref="I631" r:id="rId516" display="https://eivis.ru/"/>
    <hyperlink ref="I632" r:id="rId517" display="https://eivis.ru/"/>
    <hyperlink ref="I633" r:id="rId518" display="https://eivis.ru/"/>
    <hyperlink ref="I634" r:id="rId519" display="https://eivis.ru/"/>
    <hyperlink ref="I635" r:id="rId520" display="https://eivis.ru/"/>
    <hyperlink ref="I636" r:id="rId521" display="https://eivis.ru/"/>
    <hyperlink ref="I637" r:id="rId522" display="https://eivis.ru/"/>
    <hyperlink ref="I638" r:id="rId523" display="https://eivis.ru/"/>
    <hyperlink ref="I639" r:id="rId524" display="https://eivis.ru/"/>
    <hyperlink ref="I640" r:id="rId525" display="https://eivis.ru/"/>
    <hyperlink ref="I641" r:id="rId526" display="https://eivis.ru/"/>
    <hyperlink ref="I642" r:id="rId527" display="https://eivis.ru/"/>
    <hyperlink ref="I643" r:id="rId528" display="https://eivis.ru/"/>
    <hyperlink ref="I644" r:id="rId529" display="https://eivis.ru/"/>
    <hyperlink ref="I645" r:id="rId530" display="https://eivis.ru/"/>
    <hyperlink ref="I646" r:id="rId531" display="https://eivis.ru/"/>
    <hyperlink ref="I647" r:id="rId532" display="https://eivis.ru/"/>
    <hyperlink ref="I648" r:id="rId533" display="https://eivis.ru/"/>
    <hyperlink ref="I649" r:id="rId534" display="https://eivis.ru/"/>
    <hyperlink ref="I650" r:id="rId535" display="https://eivis.ru/"/>
    <hyperlink ref="I651" r:id="rId536" display="https://eivis.ru/"/>
    <hyperlink ref="I662" r:id="rId537" display="https://eivis.ru/"/>
    <hyperlink ref="I663" r:id="rId538" display="https://eivis.ru/"/>
    <hyperlink ref="I664" r:id="rId539" display="https://eivis.ru/"/>
    <hyperlink ref="I665" r:id="rId540" display="https://eivis.ru/"/>
    <hyperlink ref="I666" r:id="rId541" display="https://eivis.ru/"/>
    <hyperlink ref="I667" r:id="rId542" display="https://eivis.ru/"/>
    <hyperlink ref="I670" r:id="rId543" display="https://eivis.ru/"/>
    <hyperlink ref="I671" r:id="rId544" display="https://eivis.ru/"/>
    <hyperlink ref="I672" r:id="rId545" display="https://eivis.ru/"/>
    <hyperlink ref="I673" r:id="rId546" display="https://eivis.ru/"/>
    <hyperlink ref="I674" r:id="rId547" display="https://eivis.ru/"/>
    <hyperlink ref="I675" r:id="rId548" display="https://eivis.ru/"/>
    <hyperlink ref="I676" r:id="rId549" display="https://eivis.ru/"/>
    <hyperlink ref="I677" r:id="rId550" display="https://eivis.ru/"/>
    <hyperlink ref="I678" r:id="rId551" display="https://eivis.ru/"/>
    <hyperlink ref="I679" r:id="rId552" display="https://eivis.ru/"/>
    <hyperlink ref="I680" r:id="rId553" display="https://eivis.ru/"/>
    <hyperlink ref="I681" r:id="rId554" display="https://eivis.ru/"/>
    <hyperlink ref="I682" r:id="rId555" display="https://eivis.ru/"/>
    <hyperlink ref="I683" r:id="rId556" display="https://eivis.ru/"/>
    <hyperlink ref="I684" r:id="rId557" display="https://eivis.ru/"/>
    <hyperlink ref="I685" r:id="rId558" display="https://eivis.ru/"/>
    <hyperlink ref="I686" r:id="rId559" display="https://eivis.ru/"/>
    <hyperlink ref="I687" r:id="rId560" display="https://eivis.ru/"/>
    <hyperlink ref="I688" r:id="rId561" display="https://eivis.ru/"/>
    <hyperlink ref="I689" r:id="rId562" display="https://eivis.ru/"/>
    <hyperlink ref="I690" r:id="rId563" display="https://eivis.ru/"/>
    <hyperlink ref="I691" r:id="rId564" display="https://eivis.ru/"/>
    <hyperlink ref="I692" r:id="rId565" display="https://eivis.ru/"/>
    <hyperlink ref="I693" r:id="rId566" display="https://eivis.ru/"/>
    <hyperlink ref="I695" r:id="rId567" display="https://eivis.ru/"/>
    <hyperlink ref="I697" r:id="rId568" display="https://eivis.ru/"/>
    <hyperlink ref="I698" r:id="rId569" display="https://eivis.ru/"/>
    <hyperlink ref="I699" r:id="rId570" display="https://eivis.ru/"/>
    <hyperlink ref="I700" r:id="rId571" display="https://eivis.ru/"/>
    <hyperlink ref="I701" r:id="rId572" display="https://eivis.ru/"/>
    <hyperlink ref="I703" r:id="rId573" display="https://eivis.ru/"/>
    <hyperlink ref="I705" r:id="rId574" display="https://eivis.ru/"/>
    <hyperlink ref="I706" r:id="rId575" display="https://eivis.ru/"/>
    <hyperlink ref="I707" r:id="rId576" display="https://eivis.ru/"/>
    <hyperlink ref="I708" r:id="rId577" display="https://eivis.ru/"/>
    <hyperlink ref="I709" r:id="rId578" display="https://eivis.ru/"/>
    <hyperlink ref="I710" r:id="rId579" display="https://eivis.ru/"/>
    <hyperlink ref="I711" r:id="rId580" display="https://eivis.ru/"/>
    <hyperlink ref="I713" r:id="rId581" display="https://eivis.ru/"/>
    <hyperlink ref="I714" r:id="rId582" display="https://eivis.ru/"/>
    <hyperlink ref="I715" r:id="rId583" display="https://eivis.ru/"/>
    <hyperlink ref="I716" r:id="rId584" display="https://eivis.ru/"/>
    <hyperlink ref="I717" r:id="rId585" display="https://eivis.ru/"/>
    <hyperlink ref="I718" r:id="rId586" display="https://eivis.ru/"/>
    <hyperlink ref="I719" r:id="rId587" display="https://eivis.ru/"/>
    <hyperlink ref="I721" r:id="rId588" display="https://eivis.ru/"/>
    <hyperlink ref="I722" r:id="rId589" display="https://eivis.ru/"/>
    <hyperlink ref="I723" r:id="rId590" display="https://eivis.ru/"/>
    <hyperlink ref="I724" r:id="rId591" display="https://eivis.ru/"/>
    <hyperlink ref="I725" r:id="rId592" display="https://eivis.ru/"/>
    <hyperlink ref="I728" r:id="rId593" display="https://eivis.ru/"/>
    <hyperlink ref="I729" r:id="rId594" display="https://eivis.ru/"/>
    <hyperlink ref="I730" r:id="rId595" display="https://eivis.ru/"/>
    <hyperlink ref="I731" r:id="rId596" display="https://eivis.ru/"/>
    <hyperlink ref="I732" r:id="rId597" display="https://eivis.ru/"/>
    <hyperlink ref="I736" r:id="rId598" display="https://eivis.ru/"/>
    <hyperlink ref="I737" r:id="rId599" display="https://eivis.ru/"/>
    <hyperlink ref="I739" r:id="rId600" display="https://eivis.ru/"/>
    <hyperlink ref="I740" r:id="rId601" display="https://eivis.ru/"/>
    <hyperlink ref="I741" r:id="rId602" display="https://eivis.ru/"/>
    <hyperlink ref="I742" r:id="rId603" display="https://eivis.ru/"/>
    <hyperlink ref="I743" r:id="rId604" display="https://eivis.ru/"/>
    <hyperlink ref="I745" r:id="rId605" display="https://eivis.ru/"/>
    <hyperlink ref="I748" r:id="rId606" display="https://eivis.ru/"/>
    <hyperlink ref="I749" r:id="rId607" display="https://eivis.ru/"/>
    <hyperlink ref="I752" r:id="rId608" display="https://eivis.ru/"/>
    <hyperlink ref="I753" r:id="rId609" display="https://eivis.ru/"/>
    <hyperlink ref="I754" r:id="rId610" display="https://eivis.ru/"/>
    <hyperlink ref="I755" r:id="rId611" display="https://eivis.ru/"/>
    <hyperlink ref="I756" r:id="rId612" display="https://eivis.ru/"/>
    <hyperlink ref="I757" r:id="rId613" display="https://eivis.ru/"/>
    <hyperlink ref="I758" r:id="rId614" display="https://eivis.ru/"/>
    <hyperlink ref="I759" r:id="rId615" display="https://eivis.ru/"/>
    <hyperlink ref="I762" r:id="rId616" display="https://eivis.ru/"/>
    <hyperlink ref="I763" r:id="rId617" display="https://eivis.ru/"/>
    <hyperlink ref="I766" r:id="rId618" display="https://eivis.ru/"/>
    <hyperlink ref="I767" r:id="rId619" display="https://eivis.ru/"/>
    <hyperlink ref="I769" r:id="rId620" display="https://eivis.ru/"/>
    <hyperlink ref="I770" r:id="rId621" display="https://eivis.ru/"/>
    <hyperlink ref="I771" r:id="rId622" display="https://eivis.ru/"/>
    <hyperlink ref="I773" r:id="rId623" display="https://eivis.ru/"/>
    <hyperlink ref="I775" r:id="rId624" display="https://eivis.ru/"/>
    <hyperlink ref="I776" r:id="rId625" display="https://eivis.ru/"/>
    <hyperlink ref="I777" r:id="rId626" display="https://eivis.ru/"/>
    <hyperlink ref="I778" r:id="rId627" display="https://eivis.ru/"/>
    <hyperlink ref="I779" r:id="rId628" display="https://eivis.ru/"/>
    <hyperlink ref="I780" r:id="rId629" display="https://eivis.ru/"/>
    <hyperlink ref="I781" r:id="rId630" display="https://eivis.ru/"/>
    <hyperlink ref="I782" r:id="rId631" display="https://eivis.ru/"/>
    <hyperlink ref="I783" r:id="rId632" display="https://eivis.ru/"/>
    <hyperlink ref="I784" r:id="rId633" display="https://eivis.ru/"/>
    <hyperlink ref="I790" r:id="rId634" display="https://eivis.ru/"/>
    <hyperlink ref="I792" r:id="rId635" display="https://eivis.ru/"/>
    <hyperlink ref="I793" r:id="rId636" display="https://eivis.ru/"/>
    <hyperlink ref="I794" r:id="rId637" display="https://eivis.ru/"/>
    <hyperlink ref="I795" r:id="rId638" display="https://eivis.ru/"/>
    <hyperlink ref="I796" r:id="rId639" display="https://eivis.ru/"/>
    <hyperlink ref="I797" r:id="rId640" display="https://eivis.ru/"/>
    <hyperlink ref="I798" r:id="rId641" display="https://eivis.ru/"/>
    <hyperlink ref="I800" r:id="rId642" display="https://eivis.ru/"/>
    <hyperlink ref="I801" r:id="rId643" display="https://eivis.ru/"/>
    <hyperlink ref="I802" r:id="rId644" display="https://eivis.ru/"/>
    <hyperlink ref="I803" r:id="rId645" display="https://eivis.ru/"/>
    <hyperlink ref="I804" r:id="rId646" display="https://eivis.ru/"/>
    <hyperlink ref="I805" r:id="rId647" display="https://eivis.ru/"/>
    <hyperlink ref="I806" r:id="rId648" display="https://eivis.ru/"/>
    <hyperlink ref="I807" r:id="rId649" display="https://eivis.ru/"/>
    <hyperlink ref="I808" r:id="rId650" display="https://eivis.ru/"/>
    <hyperlink ref="I809" r:id="rId651" display="https://eivis.ru/"/>
    <hyperlink ref="I810" r:id="rId652" display="https://eivis.ru/"/>
    <hyperlink ref="I811" r:id="rId653" display="https://eivis.ru/"/>
    <hyperlink ref="I812" r:id="rId654" display="https://eivis.ru/"/>
    <hyperlink ref="I813" r:id="rId655" display="https://eivis.ru/"/>
    <hyperlink ref="I815" r:id="rId656" display="https://eivis.ru/"/>
    <hyperlink ref="I816" r:id="rId657" display="https://eivis.ru/"/>
    <hyperlink ref="I817" r:id="rId658" display="https://eivis.ru/"/>
    <hyperlink ref="I818" r:id="rId659" display="https://eivis.ru/"/>
    <hyperlink ref="I819" r:id="rId660" display="https://eivis.ru/"/>
    <hyperlink ref="I820" r:id="rId661" display="https://eivis.ru/"/>
    <hyperlink ref="I822" r:id="rId662" display="https://eivis.ru/"/>
    <hyperlink ref="I823" r:id="rId663" display="https://eivis.ru/"/>
    <hyperlink ref="I824" r:id="rId664" display="https://eivis.ru/"/>
    <hyperlink ref="I826" r:id="rId665" display="https://eivis.ru/"/>
    <hyperlink ref="I827" r:id="rId666" display="https://eivis.ru/"/>
    <hyperlink ref="I828" r:id="rId667" display="https://eivis.ru/"/>
    <hyperlink ref="I829" r:id="rId668" display="https://eivis.ru/"/>
    <hyperlink ref="I830" r:id="rId669" display="https://eivis.ru/"/>
    <hyperlink ref="I831" r:id="rId670" display="https://eivis.ru/"/>
    <hyperlink ref="I832" r:id="rId671" display="https://eivis.ru/"/>
    <hyperlink ref="I833" r:id="rId672" display="https://eivis.ru/"/>
    <hyperlink ref="I834" r:id="rId673" display="https://eivis.ru/"/>
    <hyperlink ref="I835" r:id="rId674" display="https://eivis.ru/"/>
    <hyperlink ref="I836" r:id="rId675" display="https://eivis.ru/"/>
    <hyperlink ref="I837" r:id="rId676" display="https://eivis.ru/"/>
    <hyperlink ref="I838" r:id="rId677" display="https://eivis.ru/"/>
    <hyperlink ref="I840" r:id="rId678" display="https://eivis.ru/"/>
    <hyperlink ref="I842" r:id="rId679" display="https://eivis.ru/"/>
    <hyperlink ref="I847" r:id="rId680" display="https://eivis.ru/"/>
    <hyperlink ref="I848" r:id="rId681" display="https://eivis.ru/"/>
    <hyperlink ref="I849" r:id="rId682" display="https://eivis.ru/"/>
    <hyperlink ref="I851" r:id="rId683" display="https://eivis.ru/"/>
    <hyperlink ref="I852" r:id="rId684" display="https://eivis.ru/"/>
    <hyperlink ref="I854" r:id="rId685" display="https://eivis.ru/"/>
    <hyperlink ref="I855" r:id="rId686" display="https://eivis.ru/"/>
    <hyperlink ref="I856" r:id="rId687" display="https://eivis.ru/"/>
    <hyperlink ref="I857" r:id="rId688" display="https://eivis.ru/"/>
    <hyperlink ref="I858" r:id="rId689" display="https://eivis.ru/"/>
    <hyperlink ref="I859" r:id="rId690" display="https://eivis.ru/"/>
    <hyperlink ref="I860" r:id="rId691" display="https://eivis.ru/"/>
    <hyperlink ref="I861" r:id="rId692" display="https://eivis.ru/"/>
    <hyperlink ref="I862" r:id="rId693" display="https://eivis.ru/"/>
    <hyperlink ref="I863" r:id="rId694" display="https://eivis.ru/"/>
    <hyperlink ref="I864" r:id="rId695" display="https://eivis.ru/"/>
    <hyperlink ref="I865" r:id="rId696" display="https://eivis.ru/"/>
    <hyperlink ref="I866" r:id="rId697" display="https://eivis.ru/"/>
    <hyperlink ref="I867" r:id="rId698" display="https://eivis.ru/"/>
    <hyperlink ref="I868" r:id="rId699" display="https://eivis.ru/"/>
    <hyperlink ref="I871" r:id="rId700" display="https://eivis.ru/"/>
    <hyperlink ref="I874" r:id="rId701" display="https://eivis.ru/"/>
    <hyperlink ref="I875" r:id="rId702" display="https://eivis.ru/"/>
    <hyperlink ref="I877" r:id="rId703" display="https://eivis.ru/"/>
    <hyperlink ref="I878" r:id="rId704" display="https://eivis.ru/"/>
    <hyperlink ref="I880" r:id="rId705" display="https://eivis.ru/"/>
    <hyperlink ref="I882" r:id="rId706" display="https://eivis.ru/"/>
    <hyperlink ref="I883" r:id="rId707" display="https://eivis.ru/"/>
    <hyperlink ref="I885" r:id="rId708" display="https://eivis.ru/"/>
    <hyperlink ref="I886" r:id="rId709" display="https://eivis.ru/"/>
    <hyperlink ref="I887" r:id="rId710" display="https://eivis.ru/"/>
    <hyperlink ref="I888" r:id="rId711" display="https://eivis.ru/"/>
    <hyperlink ref="I889" r:id="rId712" display="https://eivis.ru/"/>
    <hyperlink ref="I890" r:id="rId713" display="https://eivis.ru/"/>
    <hyperlink ref="I891" r:id="rId714" display="https://eivis.ru/"/>
    <hyperlink ref="I892" r:id="rId715" display="https://eivis.ru/"/>
    <hyperlink ref="I893" r:id="rId716" display="https://eivis.ru/"/>
    <hyperlink ref="I894" r:id="rId717" display="https://eivis.ru/"/>
    <hyperlink ref="I895" r:id="rId718" display="https://eivis.ru/"/>
    <hyperlink ref="I897" r:id="rId719" display="https://eivis.ru/"/>
    <hyperlink ref="I898" r:id="rId720" display="https://eivis.ru/"/>
    <hyperlink ref="I899" r:id="rId721" display="https://eivis.ru/"/>
    <hyperlink ref="I900" r:id="rId722" display="https://eivis.ru/"/>
    <hyperlink ref="I901" r:id="rId723" display="https://eivis.ru/"/>
    <hyperlink ref="I903" r:id="rId724" display="https://eivis.ru/"/>
    <hyperlink ref="I904" r:id="rId725" display="https://eivis.ru/"/>
    <hyperlink ref="I906" r:id="rId726" display="https://eivis.ru/"/>
    <hyperlink ref="I907" r:id="rId727" display="https://eivis.ru/"/>
    <hyperlink ref="I908" r:id="rId728" display="https://eivis.ru/"/>
    <hyperlink ref="I910" r:id="rId729" display="https://eivis.ru/"/>
    <hyperlink ref="I911" r:id="rId730" display="https://eivis.ru/"/>
    <hyperlink ref="I913" r:id="rId731" display="https://eivis.ru/"/>
    <hyperlink ref="I914" r:id="rId732" display="https://eivis.ru/"/>
    <hyperlink ref="I915" r:id="rId733" display="https://eivis.ru/"/>
    <hyperlink ref="I916" r:id="rId734" display="https://eivis.ru/"/>
    <hyperlink ref="I917" r:id="rId735" display="https://eivis.ru/"/>
    <hyperlink ref="I918" r:id="rId736" display="https://eivis.ru/"/>
    <hyperlink ref="I920" r:id="rId737" display="https://eivis.ru/"/>
    <hyperlink ref="I922" r:id="rId738" display="https://eivis.ru/"/>
    <hyperlink ref="I924" r:id="rId739" display="https://eivis.ru/"/>
    <hyperlink ref="I925" r:id="rId740" display="https://eivis.ru/"/>
    <hyperlink ref="I927" r:id="rId741" display="https://eivis.ru/"/>
    <hyperlink ref="I928" r:id="rId742" display="https://eivis.ru/"/>
    <hyperlink ref="I929" r:id="rId743" display="https://eivis.ru/"/>
    <hyperlink ref="I930" r:id="rId744" display="https://eivis.ru/"/>
    <hyperlink ref="I931" r:id="rId745" display="https://eivis.ru/"/>
    <hyperlink ref="I933" r:id="rId746" display="https://eivis.ru/"/>
    <hyperlink ref="I934" r:id="rId747" display="https://eivis.ru/"/>
    <hyperlink ref="I935" r:id="rId748" display="https://eivis.ru/"/>
    <hyperlink ref="I936" r:id="rId749" display="https://eivis.ru/"/>
    <hyperlink ref="I938" r:id="rId750" display="https://eivis.ru/"/>
    <hyperlink ref="I939" r:id="rId751" display="https://eivis.ru/"/>
    <hyperlink ref="I940" r:id="rId752" display="https://eivis.ru/"/>
    <hyperlink ref="I941" r:id="rId753" display="https://eivis.ru/"/>
    <hyperlink ref="I943" r:id="rId754" display="https://eivis.ru/"/>
    <hyperlink ref="I944" r:id="rId755" display="https://eivis.ru/"/>
    <hyperlink ref="I947" r:id="rId756" display="https://eivis.ru/"/>
    <hyperlink ref="I948" r:id="rId757" display="https://eivis.ru/"/>
    <hyperlink ref="I950" r:id="rId758" display="https://eivis.ru/"/>
    <hyperlink ref="I951" r:id="rId759" display="https://eivis.ru/"/>
    <hyperlink ref="I953" r:id="rId760" display="https://eivis.ru/"/>
    <hyperlink ref="I954" r:id="rId761" display="https://eivis.ru/"/>
    <hyperlink ref="I955" r:id="rId762" display="https://eivis.ru/"/>
    <hyperlink ref="I957" r:id="rId763" display="https://eivis.ru/"/>
    <hyperlink ref="I958" r:id="rId764" display="https://eivis.ru/"/>
    <hyperlink ref="I963" r:id="rId765" display="https://eivis.ru/"/>
    <hyperlink ref="I964" r:id="rId766" display="https://eivis.ru/"/>
    <hyperlink ref="I965" r:id="rId767" display="https://eivis.ru/"/>
    <hyperlink ref="I966" r:id="rId768" display="https://eivis.ru/"/>
    <hyperlink ref="I967" r:id="rId769" display="https://eivis.ru/"/>
    <hyperlink ref="I968" r:id="rId770" display="https://eivis.ru/"/>
    <hyperlink ref="I969" r:id="rId771" display="https://eivis.ru/"/>
    <hyperlink ref="I970" r:id="rId772" display="https://eivis.ru/"/>
    <hyperlink ref="I972" r:id="rId773" display="https://eivis.ru/"/>
    <hyperlink ref="I973" r:id="rId774" display="https://eivis.ru/"/>
    <hyperlink ref="I977" r:id="rId775" display="https://eivis.ru/"/>
    <hyperlink ref="I979" r:id="rId776" display="https://eivis.ru/"/>
    <hyperlink ref="I980" r:id="rId777" display="https://eivis.ru/"/>
    <hyperlink ref="I982" r:id="rId778" display="https://eivis.ru/"/>
    <hyperlink ref="I983" r:id="rId779" display="https://eivis.ru/"/>
    <hyperlink ref="I984" r:id="rId780" display="https://eivis.ru/"/>
    <hyperlink ref="I985" r:id="rId781" display="https://eivis.ru/"/>
    <hyperlink ref="I986" r:id="rId782" display="https://eivis.ru/"/>
    <hyperlink ref="I987" r:id="rId783" display="https://eivis.ru/"/>
    <hyperlink ref="I988" r:id="rId784" display="https://eivis.ru/"/>
    <hyperlink ref="I989" r:id="rId785" display="https://eivis.ru/"/>
    <hyperlink ref="I990" r:id="rId786" display="https://eivis.ru/"/>
    <hyperlink ref="I991" r:id="rId787" display="https://eivis.ru/"/>
    <hyperlink ref="I992" r:id="rId788" display="https://eivis.ru/"/>
    <hyperlink ref="I993" r:id="rId789" display="https://eivis.ru/"/>
    <hyperlink ref="I994" r:id="rId790" display="https://eivis.ru/"/>
    <hyperlink ref="I995" r:id="rId791" display="https://eivis.ru/"/>
    <hyperlink ref="I996" r:id="rId792" display="https://eivis.ru/"/>
    <hyperlink ref="I997" r:id="rId793" display="https://eivis.ru/"/>
    <hyperlink ref="I998" r:id="rId794" display="https://eivis.ru/"/>
    <hyperlink ref="I999" r:id="rId795" display="https://eivis.ru/"/>
    <hyperlink ref="I1000" r:id="rId796" display="https://eivis.ru/"/>
    <hyperlink ref="I1001" r:id="rId797" display="https://eivis.ru/"/>
    <hyperlink ref="I1003" r:id="rId798" display="https://eivis.ru/"/>
    <hyperlink ref="I1004" r:id="rId799" display="https://eivis.ru/"/>
    <hyperlink ref="I1005" r:id="rId800" display="https://eivis.ru/"/>
    <hyperlink ref="I1006" r:id="rId801" display="https://eivis.ru/"/>
    <hyperlink ref="I1008" r:id="rId802" display="https://eivis.ru/"/>
    <hyperlink ref="I1010" r:id="rId803" display="https://eivis.ru/"/>
    <hyperlink ref="I1012" r:id="rId804" display="https://eivis.ru/"/>
    <hyperlink ref="I1013" r:id="rId805" display="https://eivis.ru/"/>
    <hyperlink ref="I1015" r:id="rId806" display="https://eivis.ru/"/>
    <hyperlink ref="I1017" r:id="rId807" display="https://eivis.ru/"/>
    <hyperlink ref="I1018" r:id="rId808" display="https://eivis.ru/"/>
    <hyperlink ref="I1020" r:id="rId809" display="https://eivis.ru/"/>
    <hyperlink ref="I1022" r:id="rId810" display="https://eivis.ru/"/>
    <hyperlink ref="I1023" r:id="rId811" display="https://eivis.ru/"/>
    <hyperlink ref="I1024" r:id="rId812" display="https://eivis.ru/"/>
    <hyperlink ref="I1025" r:id="rId813" display="https://eivis.ru/"/>
    <hyperlink ref="I1027" r:id="rId814" display="https://eivis.ru/"/>
    <hyperlink ref="I1028" r:id="rId815" display="https://eivis.ru/"/>
    <hyperlink ref="I1029" r:id="rId816" display="https://eivis.ru/"/>
    <hyperlink ref="I1030" r:id="rId817" display="https://eivis.ru/"/>
    <hyperlink ref="I1031" r:id="rId818" display="https://eivis.ru/"/>
    <hyperlink ref="I1032" r:id="rId819" display="https://eivis.ru/"/>
    <hyperlink ref="I1033" r:id="rId820" display="https://eivis.ru/"/>
    <hyperlink ref="I1035" r:id="rId821" display="https://eivis.ru/"/>
    <hyperlink ref="I1036" r:id="rId822" display="https://eivis.ru/"/>
    <hyperlink ref="I1037" r:id="rId823" display="https://eivis.ru/"/>
    <hyperlink ref="I1038" r:id="rId824" display="https://eivis.ru/"/>
    <hyperlink ref="I1039" r:id="rId825" display="https://eivis.ru/"/>
    <hyperlink ref="I1040" r:id="rId826" display="https://eivis.ru/"/>
    <hyperlink ref="I1041" r:id="rId827" display="https://eivis.ru/"/>
    <hyperlink ref="I1042" r:id="rId828" display="https://eivis.ru/"/>
    <hyperlink ref="I1043" r:id="rId829" display="https://eivis.ru/"/>
    <hyperlink ref="I1044" r:id="rId830" display="https://eivis.ru/"/>
    <hyperlink ref="I1045" r:id="rId831" display="https://eivis.ru/"/>
    <hyperlink ref="I1046" r:id="rId832" display="https://eivis.ru/"/>
    <hyperlink ref="I1047" r:id="rId833" display="https://eivis.ru/"/>
    <hyperlink ref="I1048" r:id="rId834" display="https://eivis.ru/"/>
    <hyperlink ref="I1049" r:id="rId835" display="https://eivis.ru/"/>
    <hyperlink ref="I1050" r:id="rId836" display="https://eivis.ru/"/>
    <hyperlink ref="I1051" r:id="rId837" display="https://eivis.ru/"/>
    <hyperlink ref="I1052" r:id="rId838" display="https://eivis.ru/"/>
    <hyperlink ref="I1058" r:id="rId839" display="https://eivis.ru/"/>
    <hyperlink ref="I1061" r:id="rId840" display="https://eivis.ru/"/>
    <hyperlink ref="I1062" r:id="rId841" display="https://eivis.ru/"/>
    <hyperlink ref="I1063" r:id="rId842" display="https://eivis.ru/"/>
    <hyperlink ref="I1064" r:id="rId843" display="https://eivis.ru/"/>
    <hyperlink ref="I1068" r:id="rId844" display="https://eivis.ru/"/>
    <hyperlink ref="I1071" r:id="rId845" display="https://eivis.ru/"/>
    <hyperlink ref="I1072" r:id="rId846" display="https://eivis.ru/"/>
    <hyperlink ref="I1073" r:id="rId847" display="https://eivis.ru/"/>
    <hyperlink ref="I1075" r:id="rId848" display="https://eivis.ru/"/>
    <hyperlink ref="I1076" r:id="rId849" display="https://eivis.ru/"/>
    <hyperlink ref="I1077" r:id="rId850" display="https://eivis.ru/"/>
    <hyperlink ref="I1080" r:id="rId851" display="https://eivis.ru/"/>
    <hyperlink ref="I1081" r:id="rId852" display="https://eivis.ru/"/>
    <hyperlink ref="I1082" r:id="rId853" display="https://eivis.ru/"/>
    <hyperlink ref="I1083" r:id="rId854" display="https://eivis.ru/"/>
    <hyperlink ref="I1084" r:id="rId855" display="https://eivis.ru/"/>
    <hyperlink ref="I1085" r:id="rId856" display="https://eivis.ru/"/>
    <hyperlink ref="I1086" r:id="rId857" display="https://eivis.ru/"/>
    <hyperlink ref="I1088" r:id="rId858" display="https://eivis.ru/"/>
    <hyperlink ref="I1089" r:id="rId859" display="https://eivis.ru/"/>
    <hyperlink ref="I1090" r:id="rId860" display="https://eivis.ru/"/>
    <hyperlink ref="I1091" r:id="rId861" display="https://eivis.ru/"/>
    <hyperlink ref="I1092" r:id="rId862" display="https://eivis.ru/"/>
    <hyperlink ref="I1093" r:id="rId863" display="https://eivis.ru/"/>
    <hyperlink ref="I1094" r:id="rId864" display="https://eivis.ru/"/>
    <hyperlink ref="I1095" r:id="rId865" display="https://eivis.ru/"/>
    <hyperlink ref="I1097" r:id="rId866" display="https://eivis.ru/"/>
    <hyperlink ref="I1098" r:id="rId867" display="https://eivis.ru/"/>
    <hyperlink ref="I1099" r:id="rId868" display="https://eivis.ru/"/>
    <hyperlink ref="I1100" r:id="rId869" display="https://eivis.ru/"/>
    <hyperlink ref="I1101" r:id="rId870" display="https://eivis.ru/"/>
    <hyperlink ref="I1102" r:id="rId871" display="https://eivis.ru/"/>
    <hyperlink ref="I1104" r:id="rId872" display="https://eivis.ru/"/>
    <hyperlink ref="I1105" r:id="rId873" display="https://eivis.ru/"/>
    <hyperlink ref="I1106" r:id="rId874" display="https://eivis.ru/"/>
    <hyperlink ref="I1107" r:id="rId875" display="https://eivis.ru/"/>
    <hyperlink ref="I1108" r:id="rId876" display="https://eivis.ru/"/>
    <hyperlink ref="I1109" r:id="rId877" display="https://eivis.ru/"/>
    <hyperlink ref="I1110" r:id="rId878" display="https://eivis.ru/"/>
    <hyperlink ref="I1111" r:id="rId879" display="https://eivis.ru/"/>
    <hyperlink ref="I1112" r:id="rId880" display="https://eivis.ru/"/>
    <hyperlink ref="I1117" r:id="rId881" display="https://eivis.ru/"/>
    <hyperlink ref="I1119" r:id="rId882" display="https://eivis.ru/"/>
    <hyperlink ref="I1120" r:id="rId883" display="https://eivis.ru/"/>
    <hyperlink ref="I1121" r:id="rId884" display="https://eivis.ru/"/>
    <hyperlink ref="I1123" r:id="rId885" display="https://eivis.ru/"/>
    <hyperlink ref="I1124" r:id="rId886" display="https://eivis.ru/"/>
    <hyperlink ref="I1125" r:id="rId887" display="https://eivis.ru/"/>
    <hyperlink ref="I1126" r:id="rId888" display="https://eivis.ru/"/>
    <hyperlink ref="I1127" r:id="rId889" display="https://eivis.ru/"/>
    <hyperlink ref="I1128" r:id="rId890" display="https://eivis.ru/"/>
    <hyperlink ref="I1129" r:id="rId891" display="https://eivis.ru/"/>
    <hyperlink ref="I1130" r:id="rId892" display="https://eivis.ru/"/>
    <hyperlink ref="I1134" r:id="rId893" display="https://eivis.ru/"/>
    <hyperlink ref="I1138" r:id="rId894" display="https://eivis.ru/"/>
    <hyperlink ref="I1139" r:id="rId895" display="https://eivis.ru/"/>
    <hyperlink ref="I1141" r:id="rId896" display="https://eivis.ru/"/>
    <hyperlink ref="I1142" r:id="rId897" display="https://eivis.ru/"/>
    <hyperlink ref="I1143" r:id="rId898" display="https://eivis.ru/"/>
    <hyperlink ref="I1144" r:id="rId899" display="https://eivis.ru/"/>
    <hyperlink ref="I1146" r:id="rId900" display="https://eivis.ru/"/>
    <hyperlink ref="I1147" r:id="rId901" display="https://eivis.ru/"/>
    <hyperlink ref="I1148" r:id="rId902" display="https://eivis.ru/"/>
    <hyperlink ref="I1149" r:id="rId903" display="https://eivis.ru/"/>
    <hyperlink ref="I1150" r:id="rId904" display="https://eivis.ru/"/>
    <hyperlink ref="I1152" r:id="rId905" display="https://eivis.ru/"/>
    <hyperlink ref="I1154" r:id="rId906" display="https://eivis.ru/"/>
    <hyperlink ref="I1155" r:id="rId907" display="https://eivis.ru/"/>
    <hyperlink ref="I1156" r:id="rId908" display="https://eivis.ru/"/>
    <hyperlink ref="I1157" r:id="rId909" display="https://eivis.ru/"/>
    <hyperlink ref="I1158" r:id="rId910" display="https://eivis.ru/"/>
    <hyperlink ref="I1159" r:id="rId911" display="https://eivis.ru/"/>
    <hyperlink ref="I1160" r:id="rId912" display="https://eivis.ru/"/>
    <hyperlink ref="I1161" r:id="rId913" display="https://eivis.ru/"/>
    <hyperlink ref="I1162" r:id="rId914" display="https://eivis.ru/"/>
    <hyperlink ref="I1163" r:id="rId915" display="https://eivis.ru/"/>
    <hyperlink ref="I1164" r:id="rId916" display="https://eivis.ru/"/>
    <hyperlink ref="I1166" r:id="rId917" display="https://eivis.ru/"/>
    <hyperlink ref="I1167" r:id="rId918" display="https://eivis.ru/"/>
    <hyperlink ref="I1169" r:id="rId919" display="https://eivis.ru/"/>
    <hyperlink ref="I1170" r:id="rId920" display="https://eivis.ru/"/>
    <hyperlink ref="I1171" r:id="rId921" display="https://eivis.ru/"/>
    <hyperlink ref="I1172" r:id="rId922" display="https://eivis.ru/"/>
    <hyperlink ref="I1173" r:id="rId923" display="https://eivis.ru/"/>
    <hyperlink ref="I1174" r:id="rId924" display="https://eivis.ru/"/>
    <hyperlink ref="I1176" r:id="rId925" display="https://eivis.ru/"/>
    <hyperlink ref="I1178" r:id="rId926" display="https://eivis.ru/"/>
    <hyperlink ref="I1179" r:id="rId927" display="https://eivis.ru/"/>
    <hyperlink ref="I1180" r:id="rId928" display="https://eivis.ru/"/>
    <hyperlink ref="I1181" r:id="rId929" display="https://eivis.ru/"/>
    <hyperlink ref="I1182" r:id="rId930" display="https://eivis.ru/"/>
    <hyperlink ref="I1184" r:id="rId931" display="https://eivis.ru/"/>
    <hyperlink ref="I1186" r:id="rId932" display="https://eivis.ru/"/>
    <hyperlink ref="I1187" r:id="rId933" display="https://eivis.ru/"/>
    <hyperlink ref="I1188" r:id="rId934" display="https://eivis.ru/"/>
    <hyperlink ref="I1189" r:id="rId935" display="https://eivis.ru/"/>
    <hyperlink ref="I1190" r:id="rId936" display="https://eivis.ru/"/>
    <hyperlink ref="I1191" r:id="rId937" display="https://eivis.ru/"/>
    <hyperlink ref="I1192" r:id="rId938" display="https://eivis.ru/"/>
    <hyperlink ref="I1194" r:id="rId939" display="https://eivis.ru/"/>
    <hyperlink ref="I1196" r:id="rId940" display="https://eivis.ru/"/>
    <hyperlink ref="I1197" r:id="rId941" display="https://eivis.ru/"/>
    <hyperlink ref="I1200" r:id="rId942" display="https://eivis.ru/"/>
    <hyperlink ref="I1201" r:id="rId943" display="https://eivis.ru/"/>
    <hyperlink ref="I1202" r:id="rId944" display="https://eivis.ru/"/>
    <hyperlink ref="I1203" r:id="rId945" display="https://eivis.ru/"/>
    <hyperlink ref="I1204" r:id="rId946" display="https://eivis.ru/"/>
    <hyperlink ref="I1205" r:id="rId947" display="https://eivis.ru/"/>
    <hyperlink ref="I1206" r:id="rId948" display="https://eivis.ru/"/>
    <hyperlink ref="I1207" r:id="rId949" display="https://eivis.ru/"/>
    <hyperlink ref="I1208" r:id="rId950" display="https://eivis.ru/"/>
    <hyperlink ref="I1210" r:id="rId951" display="https://eivis.ru/"/>
    <hyperlink ref="I1211" r:id="rId952" display="https://eivis.ru/"/>
    <hyperlink ref="I1212" r:id="rId953" display="https://eivis.ru/"/>
    <hyperlink ref="I1214" r:id="rId954" display="https://eivis.ru/"/>
    <hyperlink ref="I1215" r:id="rId955" display="https://eivis.ru/"/>
    <hyperlink ref="I1217" r:id="rId956" display="https://eivis.ru/"/>
    <hyperlink ref="I1218" r:id="rId957" display="https://eivis.ru/"/>
    <hyperlink ref="I1219" r:id="rId958" display="https://eivis.ru/"/>
    <hyperlink ref="I1220" r:id="rId959" display="https://eivis.ru/"/>
    <hyperlink ref="I1221" r:id="rId960" display="https://eivis.ru/"/>
    <hyperlink ref="I1222" r:id="rId961" display="https://eivis.ru/"/>
    <hyperlink ref="I1223" r:id="rId962" display="https://eivis.ru/"/>
    <hyperlink ref="I1224" r:id="rId963" display="https://eivis.ru/"/>
    <hyperlink ref="I1225" r:id="rId964" display="https://eivis.ru/"/>
    <hyperlink ref="I1226" r:id="rId965" display="https://eivis.ru/"/>
    <hyperlink ref="I1227" r:id="rId966" display="https://eivis.ru/"/>
    <hyperlink ref="I1228" r:id="rId967" display="https://eivis.ru/"/>
    <hyperlink ref="I1229" r:id="rId968" display="https://eivis.ru/"/>
    <hyperlink ref="I1230" r:id="rId969" display="https://eivis.ru/"/>
    <hyperlink ref="I1231" r:id="rId970" display="https://eivis.ru/"/>
    <hyperlink ref="I1232" r:id="rId971" display="https://eivis.ru/"/>
    <hyperlink ref="I1233" r:id="rId972" display="https://eivis.ru/"/>
    <hyperlink ref="I1234" r:id="rId973" display="https://eivis.ru/"/>
    <hyperlink ref="I1235" r:id="rId974" display="https://eivis.ru/"/>
    <hyperlink ref="I1237" r:id="rId975" display="https://eivis.ru/"/>
    <hyperlink ref="I1238" r:id="rId976" display="https://eivis.ru/"/>
    <hyperlink ref="I1239" r:id="rId977" display="https://eivis.ru/"/>
    <hyperlink ref="I1242" r:id="rId978" display="https://eivis.ru/"/>
    <hyperlink ref="I1245" r:id="rId979" display="https://eivis.ru/"/>
    <hyperlink ref="I1246" r:id="rId980" display="https://eivis.ru/"/>
    <hyperlink ref="I1247" r:id="rId981" display="https://eivis.ru/"/>
    <hyperlink ref="I1249" r:id="rId982" display="https://eivis.ru/"/>
    <hyperlink ref="I1251" r:id="rId983" display="https://eivis.ru/"/>
    <hyperlink ref="I1252" r:id="rId984" display="https://eivis.ru/"/>
    <hyperlink ref="I1253" r:id="rId985" display="https://eivis.ru/"/>
    <hyperlink ref="I1254" r:id="rId986" display="https://eivis.ru/"/>
    <hyperlink ref="I1255" r:id="rId987" display="https://eivis.ru/"/>
    <hyperlink ref="I1258" r:id="rId988" display="https://eivis.ru/"/>
    <hyperlink ref="I1261" r:id="rId989" display="https://eivis.ru/"/>
    <hyperlink ref="I1263" r:id="rId990" display="https://eivis.ru/"/>
    <hyperlink ref="I1264" r:id="rId991" display="https://eivis.ru/"/>
    <hyperlink ref="I1266" r:id="rId992" display="https://eivis.ru/"/>
    <hyperlink ref="I1268" r:id="rId993" display="https://eivis.ru/"/>
    <hyperlink ref="I1269" r:id="rId994" display="https://eivis.ru/"/>
    <hyperlink ref="I1271" r:id="rId995" display="https://eivis.ru/"/>
    <hyperlink ref="I1275" r:id="rId996" display="https://eivis.ru/"/>
    <hyperlink ref="I1276" r:id="rId997" display="https://eivis.ru/"/>
    <hyperlink ref="I1277" r:id="rId998" display="https://eivis.ru/"/>
    <hyperlink ref="I1278" r:id="rId999" display="https://eivis.ru/"/>
    <hyperlink ref="I1279" r:id="rId1000" display="https://eivis.ru/"/>
    <hyperlink ref="I1280" r:id="rId1001" display="https://eivis.ru/"/>
    <hyperlink ref="I1281" r:id="rId1002" display="https://eivis.ru/"/>
    <hyperlink ref="I1283" r:id="rId1003" display="https://eivis.ru/"/>
    <hyperlink ref="I1284" r:id="rId1004" display="https://eivis.ru/"/>
    <hyperlink ref="I1285" r:id="rId1005" display="https://eivis.ru/"/>
    <hyperlink ref="I1286" r:id="rId1006" display="https://eivis.ru/"/>
    <hyperlink ref="I1287" r:id="rId1007" display="https://eivis.ru/"/>
    <hyperlink ref="I1288" r:id="rId1008" display="https://eivis.ru/"/>
    <hyperlink ref="I1293" r:id="rId1009" display="https://eivis.ru/"/>
    <hyperlink ref="I1294" r:id="rId1010" display="https://eivis.ru/"/>
    <hyperlink ref="I1295" r:id="rId1011" display="https://eivis.ru/"/>
    <hyperlink ref="I1296" r:id="rId1012" display="https://eivis.ru/"/>
    <hyperlink ref="I1297" r:id="rId1013" display="https://eivis.ru/"/>
    <hyperlink ref="I1298" r:id="rId1014" display="https://eivis.ru/"/>
    <hyperlink ref="I1299" r:id="rId1015" display="https://eivis.ru/"/>
    <hyperlink ref="I1300" r:id="rId1016" display="https://eivis.ru/"/>
    <hyperlink ref="I1302" r:id="rId1017" display="https://eivis.ru/"/>
    <hyperlink ref="I1303" r:id="rId1018" display="https://eivis.ru/"/>
    <hyperlink ref="I1304" r:id="rId1019" display="https://eivis.ru/"/>
    <hyperlink ref="I1305" r:id="rId1020" display="https://eivis.ru/"/>
    <hyperlink ref="I1309" r:id="rId1021" display="https://eivis.ru/"/>
    <hyperlink ref="I1311" r:id="rId1022" display="https://eivis.ru/"/>
    <hyperlink ref="I1312" r:id="rId1023" display="https://eivis.ru/"/>
    <hyperlink ref="I1313" r:id="rId1024" display="https://eivis.ru/"/>
    <hyperlink ref="I1314" r:id="rId1025" display="https://eivis.ru/"/>
    <hyperlink ref="I1315" r:id="rId1026" display="https://eivis.ru/"/>
    <hyperlink ref="I1316" r:id="rId1027" display="https://eivis.ru/"/>
    <hyperlink ref="I1317" r:id="rId1028" display="https://eivis.ru/"/>
    <hyperlink ref="I1318" r:id="rId1029" display="https://eivis.ru/"/>
    <hyperlink ref="I1319" r:id="rId1030" display="https://eivis.ru/"/>
    <hyperlink ref="I1320" r:id="rId1031" display="https://eivis.ru/"/>
    <hyperlink ref="I1321" r:id="rId1032" display="https://eivis.ru/"/>
    <hyperlink ref="I1322" r:id="rId1033" display="https://eivis.ru/"/>
    <hyperlink ref="I1323" r:id="rId1034" display="https://eivis.ru/"/>
    <hyperlink ref="I1324" r:id="rId1035" display="https://eivis.ru/"/>
    <hyperlink ref="I1325" r:id="rId1036" display="https://eivis.ru/"/>
    <hyperlink ref="I1326" r:id="rId1037" display="https://eivis.ru/"/>
    <hyperlink ref="I1327" r:id="rId1038" display="https://eivis.ru/"/>
    <hyperlink ref="I1328" r:id="rId1039" display="https://eivis.ru/"/>
    <hyperlink ref="I1329" r:id="rId1040" display="https://eivis.ru/"/>
    <hyperlink ref="I1330" r:id="rId1041" display="https://eivis.ru/"/>
    <hyperlink ref="I1331" r:id="rId1042" display="https://eivis.ru/"/>
    <hyperlink ref="I1332" r:id="rId1043" display="https://eivis.ru/"/>
    <hyperlink ref="I1333" r:id="rId1044" display="https://eivis.ru/"/>
    <hyperlink ref="I1335" r:id="rId1045" display="https://eivis.ru/"/>
    <hyperlink ref="I1336" r:id="rId1046" display="https://eivis.ru/"/>
    <hyperlink ref="I1337" r:id="rId1047" display="https://eivis.ru/"/>
    <hyperlink ref="I1338" r:id="rId1048" display="https://eivis.ru/"/>
    <hyperlink ref="I1341" r:id="rId1049" display="https://eivis.ru/"/>
    <hyperlink ref="I1342" r:id="rId1050" display="https://eivis.ru/"/>
    <hyperlink ref="I1344" r:id="rId1051" display="https://eivis.ru/"/>
    <hyperlink ref="I1345" r:id="rId1052" display="https://eivis.ru/"/>
    <hyperlink ref="I1346" r:id="rId1053" display="https://eivis.ru/"/>
    <hyperlink ref="I1347" r:id="rId1054" display="https://eivis.ru/"/>
    <hyperlink ref="I1348" r:id="rId1055" display="https://eivis.ru/"/>
    <hyperlink ref="I1349" r:id="rId1056" display="https://eivis.ru/"/>
    <hyperlink ref="I1350" r:id="rId1057" display="https://eivis.ru/"/>
    <hyperlink ref="I1351" r:id="rId1058" display="https://eivis.ru/"/>
    <hyperlink ref="I1352" r:id="rId1059" display="https://eivis.ru/"/>
    <hyperlink ref="I1353" r:id="rId1060" display="https://eivis.ru/"/>
    <hyperlink ref="I1354" r:id="rId1061" display="https://eivis.ru/"/>
    <hyperlink ref="I1355" r:id="rId1062" display="https://eivis.ru/"/>
    <hyperlink ref="I1357" r:id="rId1063" display="https://eivis.ru/"/>
    <hyperlink ref="I1358" r:id="rId1064" display="https://eivis.ru/"/>
    <hyperlink ref="I1359" r:id="rId1065" display="https://eivis.ru/"/>
    <hyperlink ref="I1360" r:id="rId1066" display="https://eivis.ru/"/>
    <hyperlink ref="I1362" r:id="rId1067" display="https://eivis.ru/"/>
    <hyperlink ref="I1363" r:id="rId1068" display="https://eivis.ru/"/>
    <hyperlink ref="I1364" r:id="rId1069" display="https://eivis.ru/"/>
    <hyperlink ref="I1365" r:id="rId1070" display="https://eivis.ru/"/>
    <hyperlink ref="I1366" r:id="rId1071" display="https://eivis.ru/"/>
    <hyperlink ref="I1368" r:id="rId1072" display="https://eivis.ru/"/>
    <hyperlink ref="I1369" r:id="rId1073" display="https://eivis.ru/"/>
    <hyperlink ref="I1371" r:id="rId1074" display="https://eivis.ru/"/>
    <hyperlink ref="I1372" r:id="rId1075" display="https://eivis.ru/"/>
    <hyperlink ref="I1374" r:id="rId1076" display="https://eivis.ru/"/>
    <hyperlink ref="I1376" r:id="rId1077" display="https://eivis.ru/"/>
    <hyperlink ref="I1378" r:id="rId1078" display="https://eivis.ru/"/>
    <hyperlink ref="I1379" r:id="rId1079" display="https://eivis.ru/"/>
    <hyperlink ref="I1380" r:id="rId1080" display="https://eivis.ru/"/>
    <hyperlink ref="I1381" r:id="rId1081" display="https://eivis.ru/"/>
    <hyperlink ref="I1384" r:id="rId1082" display="https://eivis.ru/"/>
    <hyperlink ref="I1385" r:id="rId1083" display="https://eivis.ru/"/>
    <hyperlink ref="I1386" r:id="rId1084" display="https://eivis.ru/"/>
    <hyperlink ref="I1387" r:id="rId1085" display="https://eivis.ru/"/>
    <hyperlink ref="I1388" r:id="rId1086" display="https://eivis.ru/"/>
    <hyperlink ref="I1389" r:id="rId1087" display="https://eivis.ru/"/>
    <hyperlink ref="I1390" r:id="rId1088" display="https://eivis.ru/"/>
    <hyperlink ref="I1392" r:id="rId1089" display="https://eivis.ru/"/>
    <hyperlink ref="I1393" r:id="rId1090" display="https://eivis.ru/"/>
    <hyperlink ref="I1394" r:id="rId1091" display="https://eivis.ru/"/>
    <hyperlink ref="I1396" r:id="rId1092" display="https://eivis.ru/"/>
    <hyperlink ref="I1397" r:id="rId1093" display="https://eivis.ru/"/>
    <hyperlink ref="I1398" r:id="rId1094" display="https://eivis.ru/"/>
    <hyperlink ref="I1399" r:id="rId1095" display="https://eivis.ru/"/>
    <hyperlink ref="I1402" r:id="rId1096" display="https://eivis.ru/"/>
    <hyperlink ref="I1403" r:id="rId1097" display="https://eivis.ru/"/>
    <hyperlink ref="I1404" r:id="rId1098" display="https://eivis.ru/"/>
    <hyperlink ref="I1405" r:id="rId1099" display="https://eivis.ru/"/>
    <hyperlink ref="I1406" r:id="rId1100" display="https://eivis.ru/"/>
    <hyperlink ref="I1407" r:id="rId1101" display="https://eivis.ru/"/>
    <hyperlink ref="I1408" r:id="rId1102" display="https://eivis.ru/"/>
    <hyperlink ref="I1409" r:id="rId1103" display="https://eivis.ru/"/>
    <hyperlink ref="I1410" r:id="rId1104" display="https://eivis.ru/"/>
    <hyperlink ref="I1411" r:id="rId1105" display="https://eivis.ru/"/>
    <hyperlink ref="I1412" r:id="rId1106" display="https://eivis.ru/"/>
    <hyperlink ref="I1413" r:id="rId1107" display="https://eivis.ru/"/>
    <hyperlink ref="I1414" r:id="rId1108" display="https://eivis.ru/"/>
    <hyperlink ref="I1416" r:id="rId1109" display="https://eivis.ru/"/>
    <hyperlink ref="I1417" r:id="rId1110" display="https://eivis.ru/"/>
    <hyperlink ref="I1418" r:id="rId1111" display="https://eivis.ru/"/>
    <hyperlink ref="I1419" r:id="rId1112" display="https://eivis.ru/"/>
    <hyperlink ref="I1420" r:id="rId1113" display="https://eivis.ru/"/>
    <hyperlink ref="I1421" r:id="rId1114" display="https://eivis.ru/"/>
    <hyperlink ref="I1422" r:id="rId1115" display="https://eivis.ru/"/>
    <hyperlink ref="I1424" r:id="rId1116" display="https://eivis.ru/"/>
    <hyperlink ref="I1425" r:id="rId1117" display="https://eivis.ru/"/>
    <hyperlink ref="I1426" r:id="rId1118" display="https://eivis.ru/"/>
    <hyperlink ref="I1428" r:id="rId1119" display="https://eivis.ru/"/>
    <hyperlink ref="I1430" r:id="rId1120" display="https://eivis.ru/"/>
    <hyperlink ref="I1431" r:id="rId1121" display="https://eivis.ru/"/>
    <hyperlink ref="I1433" r:id="rId1122" display="https://eivis.ru/"/>
    <hyperlink ref="I1434" r:id="rId1123" display="https://eivis.ru/"/>
    <hyperlink ref="I1435" r:id="rId1124" display="https://eivis.ru/"/>
    <hyperlink ref="I1436" r:id="rId1125" display="https://eivis.ru/"/>
    <hyperlink ref="I1437" r:id="rId1126" display="https://eivis.ru/"/>
    <hyperlink ref="I1438" r:id="rId1127" display="https://eivis.ru/"/>
    <hyperlink ref="I1439" r:id="rId1128" display="https://eivis.ru/"/>
    <hyperlink ref="I1440" r:id="rId1129" display="https://eivis.ru/"/>
    <hyperlink ref="I1441" r:id="rId1130" display="https://eivis.ru/"/>
    <hyperlink ref="I1442" r:id="rId1131" display="https://eivis.ru/"/>
    <hyperlink ref="I1443" r:id="rId1132" display="https://eivis.ru/"/>
    <hyperlink ref="I1444" r:id="rId1133" display="https://eivis.ru/"/>
    <hyperlink ref="I1445" r:id="rId1134" display="https://eivis.ru/"/>
    <hyperlink ref="I1446" r:id="rId1135" display="https://eivis.ru/"/>
    <hyperlink ref="I1447" r:id="rId1136" display="https://eivis.ru/"/>
    <hyperlink ref="I1448" r:id="rId1137" display="https://eivis.ru/"/>
    <hyperlink ref="I1449" r:id="rId1138" display="https://eivis.ru/"/>
    <hyperlink ref="I1450" r:id="rId1139" display="https://eivis.ru/"/>
    <hyperlink ref="I1452" r:id="rId1140" display="https://eivis.ru/"/>
    <hyperlink ref="I1454" r:id="rId1141" display="https://eivis.ru/"/>
    <hyperlink ref="I1455" r:id="rId1142" display="https://eivis.ru/"/>
    <hyperlink ref="I1456" r:id="rId1143" display="https://eivis.ru/"/>
    <hyperlink ref="I1457" r:id="rId1144" display="https://eivis.ru/"/>
    <hyperlink ref="I1458" r:id="rId1145" display="https://eivis.ru/"/>
    <hyperlink ref="I1459" r:id="rId1146" display="https://eivis.ru/"/>
    <hyperlink ref="I1460" r:id="rId1147" display="https://eivis.ru/"/>
    <hyperlink ref="I1461" r:id="rId1148" display="https://eivis.ru/"/>
    <hyperlink ref="I1462" r:id="rId1149" display="https://eivis.ru/"/>
    <hyperlink ref="I1463" r:id="rId1150" display="https://eivis.ru/"/>
    <hyperlink ref="I1464" r:id="rId1151" display="https://eivis.ru/"/>
    <hyperlink ref="I1466" r:id="rId1152" display="https://eivis.ru/"/>
    <hyperlink ref="I1467" r:id="rId1153" display="https://eivis.ru/"/>
    <hyperlink ref="I1468" r:id="rId1154" display="https://eivis.ru/"/>
    <hyperlink ref="I1470" r:id="rId1155" display="https://eivis.ru/"/>
    <hyperlink ref="I1471" r:id="rId1156" display="https://eivis.ru/"/>
    <hyperlink ref="I1472" r:id="rId1157" display="https://eivis.ru/"/>
    <hyperlink ref="I1473" r:id="rId1158" display="https://eivis.ru/"/>
    <hyperlink ref="I1476" r:id="rId1159" display="https://eivis.ru/"/>
    <hyperlink ref="I1478" r:id="rId1160" display="https://eivis.ru/"/>
    <hyperlink ref="I1479" r:id="rId1161" display="https://eivis.ru/"/>
    <hyperlink ref="I1480" r:id="rId1162" display="https://eivis.ru/"/>
    <hyperlink ref="I1483" r:id="rId1163" display="https://eivis.ru/"/>
    <hyperlink ref="I1484" r:id="rId1164" display="https://eivis.ru/"/>
    <hyperlink ref="I1485" r:id="rId1165" display="https://eivis.ru/"/>
    <hyperlink ref="I1486" r:id="rId1166" display="https://eivis.ru/"/>
    <hyperlink ref="I1487" r:id="rId1167" display="https://eivis.ru/"/>
    <hyperlink ref="I1488" r:id="rId1168" display="https://eivis.ru/"/>
    <hyperlink ref="I1490" r:id="rId1169" display="https://eivis.ru/"/>
    <hyperlink ref="I1491" r:id="rId1170" display="https://eivis.ru/"/>
    <hyperlink ref="I1493" r:id="rId1171" display="https://eivis.ru/"/>
    <hyperlink ref="I1494" r:id="rId1172" display="https://eivis.ru/"/>
    <hyperlink ref="I1495" r:id="rId1173" display="https://eivis.ru/"/>
    <hyperlink ref="I1496" r:id="rId1174" display="https://eivis.ru/"/>
    <hyperlink ref="I1497" r:id="rId1175" display="https://eivis.ru/"/>
    <hyperlink ref="I1499" r:id="rId1176" display="https://eivis.ru/"/>
    <hyperlink ref="I1500" r:id="rId1177" display="https://eivis.ru/"/>
    <hyperlink ref="I1501" r:id="rId1178" display="https://eivis.ru/"/>
    <hyperlink ref="I1502" r:id="rId1179" display="https://eivis.ru/"/>
    <hyperlink ref="I1503" r:id="rId1180" display="https://eivis.ru/"/>
    <hyperlink ref="I1504" r:id="rId1181" display="https://eivis.ru/"/>
    <hyperlink ref="I1505" r:id="rId1182" display="https://eivis.ru/"/>
    <hyperlink ref="I1506" r:id="rId1183" display="https://eivis.ru/"/>
    <hyperlink ref="I1507" r:id="rId1184" display="https://eivis.ru/"/>
    <hyperlink ref="I1508" r:id="rId1185" display="https://eivis.ru/"/>
    <hyperlink ref="I1509" r:id="rId1186" display="https://eivis.ru/"/>
    <hyperlink ref="I1510" r:id="rId1187" display="https://eivis.ru/"/>
    <hyperlink ref="I1511" r:id="rId1188" display="https://eivis.ru/"/>
    <hyperlink ref="I1512" r:id="rId1189" display="https://eivis.ru/"/>
    <hyperlink ref="I1513" r:id="rId1190" display="https://eivis.ru/"/>
    <hyperlink ref="I1514" r:id="rId1191" display="https://eivis.ru/"/>
    <hyperlink ref="I1515" r:id="rId1192" display="https://eivis.ru/"/>
    <hyperlink ref="I1516" r:id="rId1193" display="https://eivis.ru/"/>
    <hyperlink ref="I1517" r:id="rId1194" display="https://eivis.ru/"/>
    <hyperlink ref="I1518" r:id="rId1195" display="https://eivis.ru/"/>
    <hyperlink ref="I1519" r:id="rId1196" display="https://eivis.ru/"/>
    <hyperlink ref="I1520" r:id="rId1197" display="https://eivis.ru/"/>
    <hyperlink ref="I1521" r:id="rId1198" display="https://eivis.ru/"/>
    <hyperlink ref="I1522" r:id="rId1199" display="https://eivis.ru/"/>
    <hyperlink ref="I1523" r:id="rId1200" display="https://eivis.ru/"/>
    <hyperlink ref="I1524" r:id="rId1201" display="https://eivis.ru/"/>
    <hyperlink ref="I1525" r:id="rId1202" display="https://eivis.ru/"/>
    <hyperlink ref="I1526" r:id="rId1203" display="https://eivis.ru/"/>
    <hyperlink ref="I1527" r:id="rId1204" display="https://eivis.ru/"/>
    <hyperlink ref="I1528" r:id="rId1205" display="https://eivis.ru/"/>
    <hyperlink ref="I1529" r:id="rId1206" display="https://eivis.ru/"/>
    <hyperlink ref="I1530" r:id="rId1207" display="https://eivis.ru/"/>
    <hyperlink ref="I1531" r:id="rId1208" display="https://eivis.ru/"/>
    <hyperlink ref="I1532" r:id="rId1209" display="https://eivis.ru/"/>
    <hyperlink ref="I1533" r:id="rId1210" display="https://eivis.ru/"/>
    <hyperlink ref="I1534" r:id="rId1211" display="https://eivis.ru/"/>
    <hyperlink ref="I1535" r:id="rId1212" display="https://eivis.ru/"/>
    <hyperlink ref="I1536" r:id="rId1213" display="https://eivis.ru/"/>
    <hyperlink ref="I1537" r:id="rId1214" display="https://eivis.ru/"/>
    <hyperlink ref="I1538" r:id="rId1215" display="https://eivis.ru/"/>
    <hyperlink ref="I1539" r:id="rId1216" display="https://eivis.ru/"/>
    <hyperlink ref="I1540" r:id="rId1217" display="https://eivis.ru/"/>
    <hyperlink ref="I1541" r:id="rId1218" display="https://eivis.ru/"/>
    <hyperlink ref="I1542" r:id="rId1219" display="https://eivis.ru/"/>
    <hyperlink ref="I1543" r:id="rId1220" display="https://eivis.ru/"/>
    <hyperlink ref="I1544" r:id="rId1221" display="https://eivis.ru/"/>
    <hyperlink ref="I1545" r:id="rId1222" display="https://eivis.ru/"/>
    <hyperlink ref="I1547" r:id="rId1223" display="https://eivis.ru/"/>
    <hyperlink ref="I1548" r:id="rId1224" display="https://eivis.ru/"/>
    <hyperlink ref="I1549" r:id="rId1225" display="https://eivis.ru/"/>
    <hyperlink ref="I1550" r:id="rId1226" display="https://eivis.ru/"/>
    <hyperlink ref="I1551" r:id="rId1227" display="https://eivis.ru/"/>
    <hyperlink ref="I1552" r:id="rId1228" display="https://eivis.ru/"/>
    <hyperlink ref="I1553" r:id="rId1229" display="https://eivis.ru/"/>
    <hyperlink ref="I1554" r:id="rId1230" display="https://eivis.ru/"/>
    <hyperlink ref="I1556" r:id="rId1231" display="https://eivis.ru/"/>
    <hyperlink ref="I1557" r:id="rId1232" display="https://eivis.ru/"/>
    <hyperlink ref="I1558" r:id="rId1233" display="https://eivis.ru/"/>
    <hyperlink ref="I1559" r:id="rId1234" display="https://eivis.ru/"/>
    <hyperlink ref="I1560" r:id="rId1235" display="https://eivis.ru/"/>
    <hyperlink ref="I1563" r:id="rId1236" display="https://eivis.ru/"/>
    <hyperlink ref="I1564" r:id="rId1237" display="https://eivis.ru/"/>
    <hyperlink ref="I1567" r:id="rId1238" display="https://eivis.ru/"/>
    <hyperlink ref="I1569" r:id="rId1239" display="https://eivis.ru/"/>
    <hyperlink ref="I1570" r:id="rId1240" display="https://eivis.ru/"/>
    <hyperlink ref="I1571" r:id="rId1241" display="https://eivis.ru/"/>
    <hyperlink ref="I1572" r:id="rId1242" display="https://eivis.ru/"/>
    <hyperlink ref="I1575" r:id="rId1243" display="https://eivis.ru/"/>
    <hyperlink ref="I1576" r:id="rId1244" display="https://eivis.ru/"/>
    <hyperlink ref="I1577" r:id="rId1245" display="https://eivis.ru/"/>
    <hyperlink ref="I1578" r:id="rId1246" display="https://eivis.ru/"/>
    <hyperlink ref="I1580" r:id="rId1247" display="https://eivis.ru/"/>
    <hyperlink ref="I1581" r:id="rId1248" display="https://eivis.ru/"/>
    <hyperlink ref="I1582" r:id="rId1249" display="https://eivis.ru/"/>
    <hyperlink ref="I1583" r:id="rId1250" display="https://eivis.ru/"/>
    <hyperlink ref="I1585" r:id="rId1251" display="https://eivis.ru/"/>
    <hyperlink ref="I1586" r:id="rId1252" display="https://eivis.ru/"/>
    <hyperlink ref="I1588" r:id="rId1253" display="https://eivis.ru/"/>
    <hyperlink ref="I1589" r:id="rId1254" display="https://eivis.ru/"/>
    <hyperlink ref="I1590" r:id="rId1255" display="https://eivis.ru/"/>
    <hyperlink ref="I1591" r:id="rId1256" display="https://eivis.ru/"/>
    <hyperlink ref="I1592" r:id="rId1257" display="https://eivis.ru/"/>
    <hyperlink ref="I1593" r:id="rId1258" display="https://eivis.ru/"/>
    <hyperlink ref="I1594" r:id="rId1259" display="https://eivis.ru/"/>
    <hyperlink ref="I1595" r:id="rId1260" display="https://eivis.ru/"/>
    <hyperlink ref="I1596" r:id="rId1261" display="https://eivis.ru/"/>
    <hyperlink ref="I1597" r:id="rId1262" display="https://eivis.ru/"/>
    <hyperlink ref="I1598" r:id="rId1263" display="https://eivis.ru/"/>
    <hyperlink ref="I1599" r:id="rId1264" display="https://eivis.ru/"/>
    <hyperlink ref="I1600" r:id="rId1265" display="https://eivis.ru/"/>
    <hyperlink ref="I1601" r:id="rId1266" display="https://eivis.ru/"/>
    <hyperlink ref="I1602" r:id="rId1267" display="https://eivis.ru/"/>
    <hyperlink ref="I1603" r:id="rId1268" display="https://eivis.ru/"/>
    <hyperlink ref="I1605" r:id="rId1269" display="https://eivis.ru/"/>
    <hyperlink ref="I1606" r:id="rId1270" display="https://eivis.ru/"/>
    <hyperlink ref="I1608" r:id="rId1271" display="https://eivis.ru/"/>
    <hyperlink ref="I1609" r:id="rId1272" display="https://eivis.ru/"/>
    <hyperlink ref="I1610" r:id="rId1273" display="https://eivis.ru/"/>
    <hyperlink ref="I1612" r:id="rId1274" display="https://eivis.ru/"/>
    <hyperlink ref="I1613" r:id="rId1275" display="https://eivis.ru/"/>
    <hyperlink ref="I1614" r:id="rId1276" display="https://eivis.ru/"/>
    <hyperlink ref="I1616" r:id="rId1277" display="https://eivis.ru/"/>
    <hyperlink ref="I1617" r:id="rId1278" display="https://eivis.ru/"/>
    <hyperlink ref="I1620" r:id="rId1279" display="https://eivis.ru/"/>
    <hyperlink ref="I1621" r:id="rId1280" display="https://eivis.ru/"/>
    <hyperlink ref="I1622" r:id="rId1281" display="https://eivis.ru/"/>
    <hyperlink ref="I1623" r:id="rId1282" display="https://eivis.ru/"/>
    <hyperlink ref="I1625" r:id="rId1283" display="https://eivis.ru/"/>
    <hyperlink ref="I1626" r:id="rId1284" display="https://eivis.ru/"/>
    <hyperlink ref="I1627" r:id="rId1285" display="https://eivis.ru/"/>
    <hyperlink ref="I1631" r:id="rId1286" display="https://eivis.ru/"/>
    <hyperlink ref="I1632" r:id="rId1287" display="https://eivis.ru/"/>
    <hyperlink ref="I1633" r:id="rId1288" display="https://eivis.ru/"/>
    <hyperlink ref="I1635" r:id="rId1289" display="https://eivis.ru/"/>
    <hyperlink ref="I1637" r:id="rId1290" display="https://eivis.ru/"/>
    <hyperlink ref="I1638" r:id="rId1291" display="https://eivis.ru/"/>
    <hyperlink ref="I1641" r:id="rId1292" display="https://eivis.ru/"/>
    <hyperlink ref="I1642" r:id="rId1293" display="https://eivis.ru/"/>
    <hyperlink ref="I1643" r:id="rId1294" display="https://eivis.ru/"/>
    <hyperlink ref="I1644" r:id="rId1295" display="https://eivis.ru/"/>
    <hyperlink ref="I1645" r:id="rId1296" display="https://eivis.ru/"/>
    <hyperlink ref="I1647" r:id="rId1297" display="https://eivis.ru/"/>
    <hyperlink ref="I1648" r:id="rId1298" display="https://eivis.ru/"/>
    <hyperlink ref="I1654" r:id="rId1299" display="https://eivis.ru/"/>
    <hyperlink ref="I1655" r:id="rId1300" display="https://eivis.ru/"/>
    <hyperlink ref="I1657" r:id="rId1301" display="https://eivis.ru/"/>
    <hyperlink ref="I1658" r:id="rId1302" display="https://eivis.ru/"/>
    <hyperlink ref="I1659" r:id="rId1303" display="https://eivis.ru/"/>
    <hyperlink ref="I1662" r:id="rId1304" display="https://eivis.ru/"/>
    <hyperlink ref="I1663" r:id="rId1305" display="https://eivis.ru/"/>
    <hyperlink ref="I1664" r:id="rId1306" display="https://eivis.ru/"/>
    <hyperlink ref="I1665" r:id="rId1307" display="https://eivis.ru/"/>
    <hyperlink ref="I1666" r:id="rId1308" display="https://eivis.ru/"/>
    <hyperlink ref="I1668" r:id="rId1309" display="https://eivis.ru/"/>
    <hyperlink ref="I1669" r:id="rId1310" display="https://eivis.ru/"/>
    <hyperlink ref="I1670" r:id="rId1311" display="https://eivis.ru/"/>
    <hyperlink ref="I1671" r:id="rId1312" display="https://eivis.ru/"/>
    <hyperlink ref="I1672" r:id="rId1313" display="https://eivis.ru/"/>
    <hyperlink ref="I1673" r:id="rId1314" display="https://eivis.ru/"/>
    <hyperlink ref="I1674" r:id="rId1315" display="https://eivis.ru/"/>
    <hyperlink ref="I1675" r:id="rId1316" display="https://eivis.ru/"/>
    <hyperlink ref="I1676" r:id="rId1317" display="https://eivis.ru/"/>
    <hyperlink ref="I1677" r:id="rId1318" display="https://eivis.ru/"/>
    <hyperlink ref="I1678" r:id="rId1319" display="https://eivis.ru/"/>
    <hyperlink ref="I1679" r:id="rId1320" display="https://eivis.ru/"/>
    <hyperlink ref="I1681" r:id="rId1321" display="https://eivis.ru/"/>
    <hyperlink ref="I1682" r:id="rId1322" display="https://eivis.ru/"/>
    <hyperlink ref="I1683" r:id="rId1323" display="https://eivis.ru/"/>
    <hyperlink ref="I1684" r:id="rId1324" display="https://eivis.ru/"/>
    <hyperlink ref="I1685" r:id="rId1325" display="https://eivis.ru/"/>
    <hyperlink ref="I1686" r:id="rId1326" display="https://eivis.ru/"/>
    <hyperlink ref="I1687" r:id="rId1327" display="https://eivis.ru/"/>
    <hyperlink ref="I1688" r:id="rId1328" display="https://eivis.ru/"/>
    <hyperlink ref="I1689" r:id="rId1329" display="https://eivis.ru/"/>
    <hyperlink ref="I1690" r:id="rId1330" display="https://eivis.ru/"/>
    <hyperlink ref="I1691" r:id="rId1331" display="https://eivis.ru/"/>
    <hyperlink ref="I1692" r:id="rId1332" display="https://eivis.ru/"/>
    <hyperlink ref="I1693" r:id="rId1333" display="https://eivis.ru/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334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6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pane xSplit="1" ySplit="1" topLeftCell="B58" activePane="bottomRight" state="frozen"/>
      <selection pane="topLeft" activeCell="A1" activeCellId="0" sqref="A1"/>
      <selection pane="topRight" activeCell="B1" activeCellId="0" sqref="B1"/>
      <selection pane="bottomLeft" activeCell="A58" activeCellId="0" sqref="A58"/>
      <selection pane="bottomRight" activeCell="A63" activeCellId="0" sqref="A63"/>
    </sheetView>
  </sheetViews>
  <sheetFormatPr defaultRowHeight="13.8" zeroHeight="false" outlineLevelRow="0" outlineLevelCol="0"/>
  <cols>
    <col collapsed="false" customWidth="true" hidden="false" outlineLevel="0" max="1" min="1" style="0" width="62.66"/>
    <col collapsed="false" customWidth="true" hidden="false" outlineLevel="0" max="2" min="2" style="94" width="13.55"/>
    <col collapsed="false" customWidth="true" hidden="false" outlineLevel="0" max="3" min="3" style="3" width="31.34"/>
    <col collapsed="false" customWidth="true" hidden="false" outlineLevel="0" max="4" min="4" style="4" width="19.33"/>
    <col collapsed="false" customWidth="true" hidden="false" outlineLevel="0" max="5" min="5" style="0" width="19.56"/>
    <col collapsed="false" customWidth="true" hidden="false" outlineLevel="0" max="6" min="6" style="0" width="20.66"/>
    <col collapsed="false" customWidth="true" hidden="false" outlineLevel="0" max="7" min="7" style="5" width="25.89"/>
    <col collapsed="false" customWidth="true" hidden="false" outlineLevel="0" max="8" min="8" style="5" width="37.66"/>
    <col collapsed="false" customWidth="true" hidden="false" outlineLevel="0" max="9" min="9" style="5" width="25.89"/>
    <col collapsed="false" customWidth="true" hidden="false" outlineLevel="0" max="10" min="10" style="0" width="16.56"/>
    <col collapsed="false" customWidth="true" hidden="false" outlineLevel="0" max="11" min="11" style="0" width="20.99"/>
    <col collapsed="false" customWidth="true" hidden="false" outlineLevel="0" max="12" min="12" style="5" width="14.34"/>
    <col collapsed="false" customWidth="true" hidden="false" outlineLevel="0" max="13" min="13" style="5" width="11.66"/>
    <col collapsed="false" customWidth="true" hidden="false" outlineLevel="0" max="14" min="14" style="6" width="22.66"/>
    <col collapsed="false" customWidth="true" hidden="false" outlineLevel="0" max="15" min="15" style="0" width="13.44"/>
    <col collapsed="false" customWidth="true" hidden="false" outlineLevel="0" max="16" min="16" style="0" width="25.56"/>
    <col collapsed="false" customWidth="true" hidden="false" outlineLevel="0" max="18" min="17" style="7" width="26.33"/>
    <col collapsed="false" customWidth="true" hidden="false" outlineLevel="0" max="19" min="19" style="0" width="62.45"/>
    <col collapsed="false" customWidth="true" hidden="false" outlineLevel="0" max="1025" min="20" style="0" width="8.67"/>
  </cols>
  <sheetData>
    <row r="1" customFormat="false" ht="39.6" hidden="false" customHeight="false" outlineLevel="0" collapsed="false">
      <c r="A1" s="10" t="s">
        <v>0</v>
      </c>
      <c r="B1" s="10" t="s">
        <v>1</v>
      </c>
      <c r="C1" s="9" t="s">
        <v>2</v>
      </c>
      <c r="D1" s="10" t="s">
        <v>3</v>
      </c>
      <c r="E1" s="10" t="s">
        <v>3699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3700</v>
      </c>
      <c r="P1" s="10" t="s">
        <v>15</v>
      </c>
      <c r="Q1" s="10" t="s">
        <v>19</v>
      </c>
      <c r="R1" s="10" t="s">
        <v>17</v>
      </c>
      <c r="S1" s="10" t="s">
        <v>20</v>
      </c>
    </row>
    <row r="2" s="25" customFormat="true" ht="27.6" hidden="false" customHeight="false" outlineLevel="0" collapsed="false">
      <c r="A2" s="29" t="s">
        <v>3701</v>
      </c>
      <c r="B2" s="83"/>
      <c r="C2" s="14" t="s">
        <v>3701</v>
      </c>
      <c r="D2" s="15" t="n">
        <v>312</v>
      </c>
      <c r="E2" s="16"/>
      <c r="F2" s="73" t="s">
        <v>3702</v>
      </c>
      <c r="G2" s="15" t="s">
        <v>36</v>
      </c>
      <c r="H2" s="17" t="s">
        <v>2937</v>
      </c>
      <c r="I2" s="18" t="s">
        <v>3703</v>
      </c>
      <c r="J2" s="15" t="n">
        <v>2020</v>
      </c>
      <c r="K2" s="19" t="s">
        <v>3704</v>
      </c>
      <c r="L2" s="15" t="s">
        <v>103</v>
      </c>
      <c r="M2" s="15" t="s">
        <v>29</v>
      </c>
      <c r="N2" s="17" t="s">
        <v>53</v>
      </c>
      <c r="O2" s="15"/>
      <c r="P2" s="15"/>
      <c r="Q2" s="21"/>
      <c r="R2" s="21"/>
      <c r="S2" s="40" t="s">
        <v>3705</v>
      </c>
    </row>
    <row r="3" s="25" customFormat="true" ht="27.6" hidden="false" customHeight="false" outlineLevel="0" collapsed="false">
      <c r="A3" s="95" t="s">
        <v>3706</v>
      </c>
      <c r="B3" s="30"/>
      <c r="C3" s="14" t="s">
        <v>3707</v>
      </c>
      <c r="D3" s="30" t="n">
        <v>4</v>
      </c>
      <c r="E3" s="16" t="n">
        <v>8624</v>
      </c>
      <c r="F3" s="16" t="n">
        <v>16104</v>
      </c>
      <c r="G3" s="15" t="s">
        <v>36</v>
      </c>
      <c r="H3" s="17" t="s">
        <v>2937</v>
      </c>
      <c r="I3" s="18" t="s">
        <v>3708</v>
      </c>
      <c r="J3" s="15"/>
      <c r="K3" s="19" t="s">
        <v>27</v>
      </c>
      <c r="L3" s="15" t="s">
        <v>28</v>
      </c>
      <c r="M3" s="15" t="s">
        <v>33</v>
      </c>
      <c r="N3" s="17"/>
      <c r="O3" s="60"/>
      <c r="P3" s="60"/>
      <c r="Q3" s="21"/>
      <c r="R3" s="21"/>
      <c r="S3" s="40"/>
    </row>
    <row r="4" s="25" customFormat="true" ht="27.6" hidden="false" customHeight="false" outlineLevel="0" collapsed="false">
      <c r="A4" s="59" t="s">
        <v>3709</v>
      </c>
      <c r="B4" s="30"/>
      <c r="C4" s="14" t="s">
        <v>3707</v>
      </c>
      <c r="D4" s="15" t="n">
        <v>12</v>
      </c>
      <c r="E4" s="16" t="n">
        <v>36564</v>
      </c>
      <c r="F4" s="16" t="n">
        <v>42900</v>
      </c>
      <c r="G4" s="15" t="s">
        <v>36</v>
      </c>
      <c r="H4" s="17" t="s">
        <v>2937</v>
      </c>
      <c r="I4" s="18" t="s">
        <v>3710</v>
      </c>
      <c r="J4" s="15" t="n">
        <v>2008</v>
      </c>
      <c r="K4" s="19" t="s">
        <v>27</v>
      </c>
      <c r="L4" s="15" t="s">
        <v>28</v>
      </c>
      <c r="M4" s="15" t="s">
        <v>33</v>
      </c>
      <c r="N4" s="17" t="s">
        <v>72</v>
      </c>
      <c r="O4" s="15"/>
      <c r="P4" s="15"/>
      <c r="Q4" s="21"/>
      <c r="R4" s="21"/>
      <c r="S4" s="40" t="s">
        <v>3711</v>
      </c>
    </row>
    <row r="5" s="25" customFormat="true" ht="27.6" hidden="false" customHeight="false" outlineLevel="0" collapsed="false">
      <c r="A5" s="66" t="s">
        <v>3712</v>
      </c>
      <c r="B5" s="26" t="s">
        <v>3713</v>
      </c>
      <c r="C5" s="14" t="s">
        <v>3714</v>
      </c>
      <c r="D5" s="30" t="n">
        <v>12</v>
      </c>
      <c r="E5" s="16" t="n">
        <f aca="false">F5/2</f>
        <v>11778</v>
      </c>
      <c r="F5" s="16" t="n">
        <v>23556</v>
      </c>
      <c r="G5" s="15" t="s">
        <v>36</v>
      </c>
      <c r="H5" s="17" t="s">
        <v>25</v>
      </c>
      <c r="I5" s="18" t="s">
        <v>3715</v>
      </c>
      <c r="J5" s="15" t="n">
        <v>2025</v>
      </c>
      <c r="K5" s="19" t="s">
        <v>27</v>
      </c>
      <c r="L5" s="15" t="s">
        <v>28</v>
      </c>
      <c r="M5" s="15" t="s">
        <v>33</v>
      </c>
      <c r="N5" s="30"/>
      <c r="O5" s="60"/>
      <c r="P5" s="60"/>
      <c r="Q5" s="21"/>
      <c r="R5" s="21"/>
      <c r="S5" s="40"/>
    </row>
    <row r="6" s="25" customFormat="true" ht="27.6" hidden="false" customHeight="false" outlineLevel="0" collapsed="false">
      <c r="A6" s="59" t="s">
        <v>3716</v>
      </c>
      <c r="B6" s="30"/>
      <c r="C6" s="14" t="s">
        <v>3707</v>
      </c>
      <c r="D6" s="15" t="n">
        <v>12</v>
      </c>
      <c r="E6" s="16" t="n">
        <v>11286</v>
      </c>
      <c r="F6" s="16" t="n">
        <v>16896</v>
      </c>
      <c r="G6" s="15" t="s">
        <v>36</v>
      </c>
      <c r="H6" s="17" t="s">
        <v>2937</v>
      </c>
      <c r="I6" s="18" t="s">
        <v>3717</v>
      </c>
      <c r="J6" s="15" t="n">
        <v>2008</v>
      </c>
      <c r="K6" s="19" t="s">
        <v>27</v>
      </c>
      <c r="L6" s="15" t="s">
        <v>28</v>
      </c>
      <c r="M6" s="15" t="s">
        <v>33</v>
      </c>
      <c r="N6" s="15"/>
      <c r="O6" s="15"/>
      <c r="P6" s="15"/>
      <c r="Q6" s="21"/>
      <c r="R6" s="21"/>
      <c r="S6" s="40" t="s">
        <v>3711</v>
      </c>
    </row>
    <row r="7" s="25" customFormat="true" ht="27.6" hidden="false" customHeight="false" outlineLevel="0" collapsed="false">
      <c r="A7" s="59" t="s">
        <v>3718</v>
      </c>
      <c r="B7" s="30"/>
      <c r="C7" s="14" t="s">
        <v>3707</v>
      </c>
      <c r="D7" s="15" t="n">
        <v>12</v>
      </c>
      <c r="E7" s="16" t="n">
        <v>11286</v>
      </c>
      <c r="F7" s="16" t="n">
        <v>20856</v>
      </c>
      <c r="G7" s="15" t="s">
        <v>36</v>
      </c>
      <c r="H7" s="17" t="s">
        <v>2937</v>
      </c>
      <c r="I7" s="18" t="s">
        <v>3719</v>
      </c>
      <c r="J7" s="15" t="n">
        <v>2008</v>
      </c>
      <c r="K7" s="19" t="s">
        <v>27</v>
      </c>
      <c r="L7" s="15" t="s">
        <v>28</v>
      </c>
      <c r="M7" s="15" t="s">
        <v>33</v>
      </c>
      <c r="N7" s="17" t="s">
        <v>512</v>
      </c>
      <c r="O7" s="15"/>
      <c r="P7" s="15"/>
      <c r="Q7" s="21"/>
      <c r="R7" s="21"/>
      <c r="S7" s="40" t="s">
        <v>3711</v>
      </c>
    </row>
    <row r="8" s="25" customFormat="true" ht="27.6" hidden="false" customHeight="false" outlineLevel="0" collapsed="false">
      <c r="A8" s="59" t="s">
        <v>3720</v>
      </c>
      <c r="B8" s="30"/>
      <c r="C8" s="14" t="s">
        <v>3707</v>
      </c>
      <c r="D8" s="15" t="n">
        <v>12</v>
      </c>
      <c r="E8" s="16" t="n">
        <v>36234</v>
      </c>
      <c r="F8" s="16" t="n">
        <v>63624</v>
      </c>
      <c r="G8" s="15" t="s">
        <v>36</v>
      </c>
      <c r="H8" s="17" t="s">
        <v>2937</v>
      </c>
      <c r="I8" s="18" t="s">
        <v>3721</v>
      </c>
      <c r="J8" s="15" t="n">
        <v>2006</v>
      </c>
      <c r="K8" s="19" t="s">
        <v>27</v>
      </c>
      <c r="L8" s="15" t="s">
        <v>28</v>
      </c>
      <c r="M8" s="15" t="s">
        <v>33</v>
      </c>
      <c r="N8" s="15" t="s">
        <v>1019</v>
      </c>
      <c r="O8" s="15"/>
      <c r="P8" s="15"/>
      <c r="Q8" s="21"/>
      <c r="R8" s="21"/>
      <c r="S8" s="40" t="s">
        <v>3711</v>
      </c>
    </row>
    <row r="9" s="25" customFormat="true" ht="27.6" hidden="false" customHeight="false" outlineLevel="0" collapsed="false">
      <c r="A9" s="59" t="s">
        <v>3722</v>
      </c>
      <c r="B9" s="30"/>
      <c r="C9" s="14" t="s">
        <v>3707</v>
      </c>
      <c r="D9" s="15" t="n">
        <v>24</v>
      </c>
      <c r="E9" s="16" t="n">
        <v>26004</v>
      </c>
      <c r="F9" s="16" t="n">
        <v>43692</v>
      </c>
      <c r="G9" s="15" t="s">
        <v>36</v>
      </c>
      <c r="H9" s="17" t="s">
        <v>2937</v>
      </c>
      <c r="I9" s="18" t="s">
        <v>3717</v>
      </c>
      <c r="J9" s="15" t="n">
        <v>2008</v>
      </c>
      <c r="K9" s="19" t="s">
        <v>27</v>
      </c>
      <c r="L9" s="15" t="s">
        <v>28</v>
      </c>
      <c r="M9" s="15" t="s">
        <v>33</v>
      </c>
      <c r="N9" s="15" t="s">
        <v>512</v>
      </c>
      <c r="O9" s="15"/>
      <c r="P9" s="15"/>
      <c r="Q9" s="21"/>
      <c r="R9" s="21"/>
      <c r="S9" s="40" t="s">
        <v>3711</v>
      </c>
    </row>
    <row r="10" s="25" customFormat="true" ht="27.6" hidden="false" customHeight="false" outlineLevel="0" collapsed="false">
      <c r="A10" s="59" t="s">
        <v>3723</v>
      </c>
      <c r="B10" s="30"/>
      <c r="C10" s="14" t="s">
        <v>3707</v>
      </c>
      <c r="D10" s="15" t="n">
        <v>12</v>
      </c>
      <c r="E10" s="16" t="n">
        <v>20196</v>
      </c>
      <c r="F10" s="16" t="n">
        <v>36432</v>
      </c>
      <c r="G10" s="15" t="s">
        <v>36</v>
      </c>
      <c r="H10" s="17" t="s">
        <v>2937</v>
      </c>
      <c r="I10" s="18" t="s">
        <v>3724</v>
      </c>
      <c r="J10" s="15" t="n">
        <v>2015</v>
      </c>
      <c r="K10" s="19" t="s">
        <v>27</v>
      </c>
      <c r="L10" s="15" t="s">
        <v>28</v>
      </c>
      <c r="M10" s="15" t="s">
        <v>33</v>
      </c>
      <c r="N10" s="17" t="s">
        <v>83</v>
      </c>
      <c r="O10" s="15"/>
      <c r="P10" s="15"/>
      <c r="Q10" s="21"/>
      <c r="R10" s="21"/>
      <c r="S10" s="40"/>
    </row>
    <row r="11" s="25" customFormat="true" ht="27.6" hidden="false" customHeight="false" outlineLevel="0" collapsed="false">
      <c r="A11" s="59" t="s">
        <v>3725</v>
      </c>
      <c r="B11" s="30"/>
      <c r="C11" s="14" t="s">
        <v>3707</v>
      </c>
      <c r="D11" s="15" t="n">
        <v>12</v>
      </c>
      <c r="E11" s="16" t="n">
        <v>13728</v>
      </c>
      <c r="F11" s="16" t="n">
        <v>24156</v>
      </c>
      <c r="G11" s="15" t="s">
        <v>36</v>
      </c>
      <c r="H11" s="17" t="s">
        <v>2937</v>
      </c>
      <c r="I11" s="18" t="s">
        <v>3726</v>
      </c>
      <c r="J11" s="15" t="n">
        <v>2015</v>
      </c>
      <c r="K11" s="19" t="s">
        <v>27</v>
      </c>
      <c r="L11" s="15" t="s">
        <v>28</v>
      </c>
      <c r="M11" s="15" t="s">
        <v>33</v>
      </c>
      <c r="N11" s="17"/>
      <c r="O11" s="15"/>
      <c r="P11" s="15"/>
      <c r="Q11" s="21"/>
      <c r="R11" s="21"/>
      <c r="S11" s="40"/>
    </row>
    <row r="12" s="25" customFormat="true" ht="28.8" hidden="false" customHeight="false" outlineLevel="0" collapsed="false">
      <c r="A12" s="59" t="s">
        <v>3727</v>
      </c>
      <c r="B12" s="30"/>
      <c r="C12" s="14" t="s">
        <v>3707</v>
      </c>
      <c r="D12" s="15" t="n">
        <v>12</v>
      </c>
      <c r="E12" s="16" t="n">
        <v>17886</v>
      </c>
      <c r="F12" s="16" t="n">
        <v>33924</v>
      </c>
      <c r="G12" s="15" t="s">
        <v>36</v>
      </c>
      <c r="H12" s="17" t="s">
        <v>2937</v>
      </c>
      <c r="I12" s="18" t="s">
        <v>3728</v>
      </c>
      <c r="J12" s="15" t="n">
        <v>2015</v>
      </c>
      <c r="K12" s="19" t="s">
        <v>27</v>
      </c>
      <c r="L12" s="15" t="s">
        <v>28</v>
      </c>
      <c r="M12" s="15" t="s">
        <v>33</v>
      </c>
      <c r="N12" s="17"/>
      <c r="O12" s="15"/>
      <c r="P12" s="15"/>
      <c r="Q12" s="21"/>
      <c r="R12" s="21"/>
      <c r="S12" s="40"/>
    </row>
    <row r="13" s="25" customFormat="true" ht="27.6" hidden="false" customHeight="false" outlineLevel="0" collapsed="false">
      <c r="A13" s="59" t="s">
        <v>3729</v>
      </c>
      <c r="B13" s="30"/>
      <c r="C13" s="14" t="s">
        <v>3730</v>
      </c>
      <c r="D13" s="15" t="n">
        <v>12</v>
      </c>
      <c r="E13" s="16" t="n">
        <f aca="false">F13/2</f>
        <v>27846</v>
      </c>
      <c r="F13" s="16" t="n">
        <f aca="false">46410*1.2</f>
        <v>55692</v>
      </c>
      <c r="G13" s="15" t="s">
        <v>36</v>
      </c>
      <c r="H13" s="17" t="s">
        <v>2937</v>
      </c>
      <c r="I13" s="18"/>
      <c r="J13" s="15" t="n">
        <v>2021</v>
      </c>
      <c r="K13" s="19" t="s">
        <v>27</v>
      </c>
      <c r="L13" s="15" t="s">
        <v>28</v>
      </c>
      <c r="M13" s="15" t="s">
        <v>33</v>
      </c>
      <c r="N13" s="20"/>
      <c r="O13" s="15"/>
      <c r="P13" s="15"/>
      <c r="Q13" s="96" t="n">
        <v>45893</v>
      </c>
      <c r="R13" s="21"/>
      <c r="S13" s="97"/>
    </row>
    <row r="14" s="25" customFormat="true" ht="27.6" hidden="false" customHeight="false" outlineLevel="0" collapsed="false">
      <c r="A14" s="66" t="s">
        <v>3731</v>
      </c>
      <c r="B14" s="26" t="s">
        <v>3713</v>
      </c>
      <c r="C14" s="14" t="s">
        <v>3714</v>
      </c>
      <c r="D14" s="30" t="n">
        <v>12</v>
      </c>
      <c r="E14" s="16" t="n">
        <f aca="false">F14/2</f>
        <v>11778</v>
      </c>
      <c r="F14" s="16" t="n">
        <v>23556</v>
      </c>
      <c r="G14" s="15" t="s">
        <v>36</v>
      </c>
      <c r="H14" s="17" t="s">
        <v>25</v>
      </c>
      <c r="I14" s="18" t="s">
        <v>3715</v>
      </c>
      <c r="J14" s="15" t="n">
        <v>2025</v>
      </c>
      <c r="K14" s="19" t="s">
        <v>27</v>
      </c>
      <c r="L14" s="15" t="s">
        <v>28</v>
      </c>
      <c r="M14" s="15" t="s">
        <v>33</v>
      </c>
      <c r="N14" s="30"/>
      <c r="O14" s="60"/>
      <c r="P14" s="60"/>
      <c r="Q14" s="21"/>
      <c r="R14" s="21"/>
      <c r="S14" s="40"/>
    </row>
    <row r="15" s="25" customFormat="true" ht="27.6" hidden="false" customHeight="false" outlineLevel="0" collapsed="false">
      <c r="A15" s="59" t="s">
        <v>3732</v>
      </c>
      <c r="B15" s="30" t="s">
        <v>3733</v>
      </c>
      <c r="C15" s="14" t="s">
        <v>3707</v>
      </c>
      <c r="D15" s="15" t="n">
        <v>12</v>
      </c>
      <c r="E15" s="16" t="n">
        <v>23364</v>
      </c>
      <c r="F15" s="16" t="n">
        <v>43692</v>
      </c>
      <c r="G15" s="15" t="s">
        <v>36</v>
      </c>
      <c r="H15" s="17" t="s">
        <v>2937</v>
      </c>
      <c r="I15" s="18" t="s">
        <v>3734</v>
      </c>
      <c r="J15" s="15" t="n">
        <v>2011</v>
      </c>
      <c r="K15" s="19" t="s">
        <v>27</v>
      </c>
      <c r="L15" s="15" t="s">
        <v>28</v>
      </c>
      <c r="M15" s="15" t="s">
        <v>33</v>
      </c>
      <c r="N15" s="17" t="s">
        <v>123</v>
      </c>
      <c r="O15" s="15"/>
      <c r="P15" s="15"/>
      <c r="Q15" s="21"/>
      <c r="R15" s="21"/>
      <c r="S15" s="40" t="s">
        <v>3711</v>
      </c>
    </row>
    <row r="16" s="25" customFormat="true" ht="27.6" hidden="false" customHeight="false" outlineLevel="0" collapsed="false">
      <c r="A16" s="59" t="s">
        <v>3735</v>
      </c>
      <c r="B16" s="30"/>
      <c r="C16" s="14" t="s">
        <v>3707</v>
      </c>
      <c r="D16" s="15" t="n">
        <v>12</v>
      </c>
      <c r="E16" s="16" t="n">
        <v>15840</v>
      </c>
      <c r="F16" s="16" t="n">
        <v>27588</v>
      </c>
      <c r="G16" s="15" t="s">
        <v>36</v>
      </c>
      <c r="H16" s="17" t="s">
        <v>2937</v>
      </c>
      <c r="I16" s="18" t="s">
        <v>3736</v>
      </c>
      <c r="J16" s="15" t="n">
        <v>2015</v>
      </c>
      <c r="K16" s="19" t="s">
        <v>27</v>
      </c>
      <c r="L16" s="15" t="s">
        <v>28</v>
      </c>
      <c r="M16" s="15" t="s">
        <v>33</v>
      </c>
      <c r="N16" s="17"/>
      <c r="O16" s="15"/>
      <c r="P16" s="15"/>
      <c r="Q16" s="21"/>
      <c r="R16" s="21"/>
      <c r="S16" s="40"/>
    </row>
    <row r="17" s="25" customFormat="true" ht="28.8" hidden="false" customHeight="false" outlineLevel="0" collapsed="false">
      <c r="A17" s="59" t="s">
        <v>3737</v>
      </c>
      <c r="B17" s="30"/>
      <c r="C17" s="14" t="s">
        <v>3707</v>
      </c>
      <c r="D17" s="15" t="n">
        <v>12</v>
      </c>
      <c r="E17" s="16" t="n">
        <v>15972</v>
      </c>
      <c r="F17" s="16" t="n">
        <v>28512</v>
      </c>
      <c r="G17" s="15" t="s">
        <v>36</v>
      </c>
      <c r="H17" s="17" t="s">
        <v>2937</v>
      </c>
      <c r="I17" s="18" t="s">
        <v>3738</v>
      </c>
      <c r="J17" s="15" t="n">
        <v>2015</v>
      </c>
      <c r="K17" s="19" t="s">
        <v>27</v>
      </c>
      <c r="L17" s="15" t="s">
        <v>28</v>
      </c>
      <c r="M17" s="15" t="s">
        <v>33</v>
      </c>
      <c r="N17" s="17" t="s">
        <v>83</v>
      </c>
      <c r="O17" s="15"/>
      <c r="P17" s="15"/>
      <c r="Q17" s="21"/>
      <c r="R17" s="21"/>
      <c r="S17" s="40"/>
    </row>
    <row r="18" s="25" customFormat="true" ht="27.6" hidden="false" customHeight="false" outlineLevel="0" collapsed="false">
      <c r="A18" s="59" t="s">
        <v>3739</v>
      </c>
      <c r="B18" s="30"/>
      <c r="C18" s="14" t="s">
        <v>3707</v>
      </c>
      <c r="D18" s="15" t="n">
        <v>12</v>
      </c>
      <c r="E18" s="16" t="n">
        <v>26136</v>
      </c>
      <c r="F18" s="16" t="n">
        <v>42636</v>
      </c>
      <c r="G18" s="15" t="s">
        <v>36</v>
      </c>
      <c r="H18" s="17" t="s">
        <v>2937</v>
      </c>
      <c r="I18" s="18" t="s">
        <v>3740</v>
      </c>
      <c r="J18" s="15" t="n">
        <v>2008</v>
      </c>
      <c r="K18" s="19" t="s">
        <v>27</v>
      </c>
      <c r="L18" s="15" t="s">
        <v>28</v>
      </c>
      <c r="M18" s="15" t="s">
        <v>33</v>
      </c>
      <c r="N18" s="15" t="s">
        <v>512</v>
      </c>
      <c r="O18" s="15"/>
      <c r="P18" s="15"/>
      <c r="Q18" s="21"/>
      <c r="R18" s="21"/>
      <c r="S18" s="40" t="s">
        <v>3711</v>
      </c>
    </row>
    <row r="19" s="25" customFormat="true" ht="27.6" hidden="false" customHeight="false" outlineLevel="0" collapsed="false">
      <c r="A19" s="59" t="s">
        <v>3741</v>
      </c>
      <c r="B19" s="30"/>
      <c r="C19" s="14" t="s">
        <v>3707</v>
      </c>
      <c r="D19" s="15" t="n">
        <v>12</v>
      </c>
      <c r="E19" s="16" t="n">
        <v>21450</v>
      </c>
      <c r="F19" s="16" t="n">
        <v>38808</v>
      </c>
      <c r="G19" s="15" t="s">
        <v>36</v>
      </c>
      <c r="H19" s="17" t="s">
        <v>2937</v>
      </c>
      <c r="I19" s="18" t="s">
        <v>3742</v>
      </c>
      <c r="J19" s="15" t="n">
        <v>2011</v>
      </c>
      <c r="K19" s="19" t="s">
        <v>27</v>
      </c>
      <c r="L19" s="15" t="s">
        <v>28</v>
      </c>
      <c r="M19" s="15" t="s">
        <v>33</v>
      </c>
      <c r="N19" s="15" t="s">
        <v>512</v>
      </c>
      <c r="O19" s="15"/>
      <c r="P19" s="15"/>
      <c r="Q19" s="21"/>
      <c r="R19" s="21"/>
      <c r="S19" s="40" t="s">
        <v>3711</v>
      </c>
    </row>
    <row r="20" s="25" customFormat="true" ht="27.6" hidden="false" customHeight="false" outlineLevel="0" collapsed="false">
      <c r="A20" s="59" t="s">
        <v>3743</v>
      </c>
      <c r="B20" s="30" t="s">
        <v>3744</v>
      </c>
      <c r="C20" s="14" t="s">
        <v>3707</v>
      </c>
      <c r="D20" s="15" t="n">
        <v>12</v>
      </c>
      <c r="E20" s="16" t="n">
        <v>21054</v>
      </c>
      <c r="F20" s="16" t="n">
        <v>36432</v>
      </c>
      <c r="G20" s="15" t="s">
        <v>36</v>
      </c>
      <c r="H20" s="17" t="s">
        <v>2937</v>
      </c>
      <c r="I20" s="18" t="s">
        <v>3745</v>
      </c>
      <c r="J20" s="15" t="n">
        <v>2015</v>
      </c>
      <c r="K20" s="19" t="s">
        <v>27</v>
      </c>
      <c r="L20" s="15" t="s">
        <v>28</v>
      </c>
      <c r="M20" s="15" t="s">
        <v>33</v>
      </c>
      <c r="N20" s="17" t="s">
        <v>83</v>
      </c>
      <c r="O20" s="15"/>
      <c r="P20" s="15"/>
      <c r="Q20" s="21"/>
      <c r="R20" s="21"/>
      <c r="S20" s="40"/>
    </row>
    <row r="21" s="25" customFormat="true" ht="69" hidden="false" customHeight="true" outlineLevel="0" collapsed="false">
      <c r="A21" s="59" t="s">
        <v>3746</v>
      </c>
      <c r="B21" s="30"/>
      <c r="C21" s="14" t="s">
        <v>3730</v>
      </c>
      <c r="D21" s="15" t="n">
        <v>12</v>
      </c>
      <c r="E21" s="16" t="n">
        <f aca="false">F21/2</f>
        <v>24663.6</v>
      </c>
      <c r="F21" s="16" t="n">
        <f aca="false">41106*1.2</f>
        <v>49327.2</v>
      </c>
      <c r="G21" s="15" t="s">
        <v>36</v>
      </c>
      <c r="H21" s="17" t="s">
        <v>2937</v>
      </c>
      <c r="I21" s="18"/>
      <c r="J21" s="15" t="n">
        <v>2021</v>
      </c>
      <c r="K21" s="19" t="s">
        <v>27</v>
      </c>
      <c r="L21" s="15" t="s">
        <v>28</v>
      </c>
      <c r="M21" s="15" t="s">
        <v>33</v>
      </c>
      <c r="N21" s="20"/>
      <c r="O21" s="15"/>
      <c r="P21" s="15"/>
      <c r="Q21" s="96" t="n">
        <v>45893</v>
      </c>
      <c r="R21" s="21"/>
      <c r="S21" s="97"/>
    </row>
    <row r="22" s="25" customFormat="true" ht="27.6" hidden="false" customHeight="false" outlineLevel="0" collapsed="false">
      <c r="A22" s="59" t="s">
        <v>3747</v>
      </c>
      <c r="B22" s="30"/>
      <c r="C22" s="14" t="s">
        <v>3707</v>
      </c>
      <c r="D22" s="15" t="n">
        <v>12</v>
      </c>
      <c r="E22" s="16" t="n">
        <v>19140</v>
      </c>
      <c r="F22" s="16" t="n">
        <v>35112</v>
      </c>
      <c r="G22" s="15" t="s">
        <v>36</v>
      </c>
      <c r="H22" s="17" t="s">
        <v>2937</v>
      </c>
      <c r="I22" s="18" t="s">
        <v>3748</v>
      </c>
      <c r="J22" s="15" t="n">
        <v>2003</v>
      </c>
      <c r="K22" s="19" t="s">
        <v>27</v>
      </c>
      <c r="L22" s="15" t="s">
        <v>28</v>
      </c>
      <c r="M22" s="15" t="s">
        <v>33</v>
      </c>
      <c r="N22" s="17" t="s">
        <v>123</v>
      </c>
      <c r="O22" s="15"/>
      <c r="P22" s="15"/>
      <c r="Q22" s="21"/>
      <c r="R22" s="21"/>
      <c r="S22" s="40" t="s">
        <v>3711</v>
      </c>
    </row>
    <row r="23" s="25" customFormat="true" ht="27.6" hidden="false" customHeight="false" outlineLevel="0" collapsed="false">
      <c r="A23" s="59" t="s">
        <v>3749</v>
      </c>
      <c r="B23" s="30" t="s">
        <v>3750</v>
      </c>
      <c r="C23" s="14" t="s">
        <v>3707</v>
      </c>
      <c r="D23" s="15" t="n">
        <v>12</v>
      </c>
      <c r="E23" s="16" t="n">
        <v>24816</v>
      </c>
      <c r="F23" s="16" t="n">
        <v>41712</v>
      </c>
      <c r="G23" s="15" t="s">
        <v>36</v>
      </c>
      <c r="H23" s="17" t="s">
        <v>2937</v>
      </c>
      <c r="I23" s="18" t="s">
        <v>3751</v>
      </c>
      <c r="J23" s="15" t="n">
        <v>2015</v>
      </c>
      <c r="K23" s="19" t="s">
        <v>27</v>
      </c>
      <c r="L23" s="15" t="s">
        <v>28</v>
      </c>
      <c r="M23" s="15" t="s">
        <v>33</v>
      </c>
      <c r="N23" s="15" t="s">
        <v>512</v>
      </c>
      <c r="O23" s="15"/>
      <c r="P23" s="15"/>
      <c r="Q23" s="21"/>
      <c r="R23" s="21"/>
      <c r="S23" s="40" t="s">
        <v>3711</v>
      </c>
    </row>
    <row r="24" s="25" customFormat="true" ht="27.6" hidden="false" customHeight="false" outlineLevel="0" collapsed="false">
      <c r="A24" s="59" t="s">
        <v>3752</v>
      </c>
      <c r="B24" s="30"/>
      <c r="C24" s="14" t="s">
        <v>3707</v>
      </c>
      <c r="D24" s="15" t="n">
        <v>12</v>
      </c>
      <c r="E24" s="16" t="n">
        <v>30052</v>
      </c>
      <c r="F24" s="16" t="n">
        <v>50963</v>
      </c>
      <c r="G24" s="15" t="s">
        <v>36</v>
      </c>
      <c r="H24" s="17" t="s">
        <v>2937</v>
      </c>
      <c r="I24" s="18" t="s">
        <v>3753</v>
      </c>
      <c r="J24" s="15" t="n">
        <v>2011</v>
      </c>
      <c r="K24" s="19" t="s">
        <v>27</v>
      </c>
      <c r="L24" s="15" t="s">
        <v>28</v>
      </c>
      <c r="M24" s="15" t="s">
        <v>33</v>
      </c>
      <c r="N24" s="15" t="s">
        <v>1019</v>
      </c>
      <c r="O24" s="15"/>
      <c r="P24" s="15"/>
      <c r="Q24" s="21"/>
      <c r="R24" s="21"/>
      <c r="S24" s="40" t="s">
        <v>3711</v>
      </c>
    </row>
    <row r="25" s="25" customFormat="true" ht="27.6" hidden="false" customHeight="false" outlineLevel="0" collapsed="false">
      <c r="A25" s="59" t="s">
        <v>3754</v>
      </c>
      <c r="B25" s="30"/>
      <c r="C25" s="14" t="s">
        <v>3707</v>
      </c>
      <c r="D25" s="15" t="n">
        <v>12</v>
      </c>
      <c r="E25" s="16" t="n">
        <v>8019</v>
      </c>
      <c r="F25" s="16" t="n">
        <v>16038</v>
      </c>
      <c r="G25" s="15" t="s">
        <v>36</v>
      </c>
      <c r="H25" s="17" t="s">
        <v>2937</v>
      </c>
      <c r="I25" s="98" t="s">
        <v>3755</v>
      </c>
      <c r="J25" s="15" t="n">
        <v>2015</v>
      </c>
      <c r="K25" s="19" t="s">
        <v>27</v>
      </c>
      <c r="L25" s="15" t="s">
        <v>28</v>
      </c>
      <c r="M25" s="15" t="s">
        <v>33</v>
      </c>
      <c r="N25" s="17" t="s">
        <v>72</v>
      </c>
      <c r="O25" s="15"/>
      <c r="P25" s="15"/>
      <c r="Q25" s="21"/>
      <c r="R25" s="21"/>
      <c r="S25" s="40" t="s">
        <v>3711</v>
      </c>
    </row>
    <row r="26" s="25" customFormat="true" ht="27.6" hidden="false" customHeight="false" outlineLevel="0" collapsed="false">
      <c r="A26" s="59" t="s">
        <v>3756</v>
      </c>
      <c r="B26" s="30" t="s">
        <v>3757</v>
      </c>
      <c r="C26" s="14" t="s">
        <v>3707</v>
      </c>
      <c r="D26" s="15" t="n">
        <v>12</v>
      </c>
      <c r="E26" s="16" t="n">
        <v>25608</v>
      </c>
      <c r="F26" s="16" t="n">
        <v>48312</v>
      </c>
      <c r="G26" s="15" t="s">
        <v>36</v>
      </c>
      <c r="H26" s="17" t="s">
        <v>2937</v>
      </c>
      <c r="I26" s="98" t="s">
        <v>3755</v>
      </c>
      <c r="J26" s="15" t="n">
        <v>2015</v>
      </c>
      <c r="K26" s="19" t="s">
        <v>27</v>
      </c>
      <c r="L26" s="15" t="s">
        <v>28</v>
      </c>
      <c r="M26" s="15" t="s">
        <v>33</v>
      </c>
      <c r="N26" s="15"/>
      <c r="O26" s="15"/>
      <c r="P26" s="15"/>
      <c r="Q26" s="21"/>
      <c r="R26" s="21"/>
      <c r="S26" s="40" t="s">
        <v>3711</v>
      </c>
    </row>
    <row r="27" s="25" customFormat="true" ht="27.6" hidden="false" customHeight="false" outlineLevel="0" collapsed="false">
      <c r="A27" s="59" t="s">
        <v>3758</v>
      </c>
      <c r="B27" s="30" t="s">
        <v>3759</v>
      </c>
      <c r="C27" s="70" t="s">
        <v>3707</v>
      </c>
      <c r="D27" s="15" t="n">
        <v>12</v>
      </c>
      <c r="E27" s="16" t="n">
        <v>8778</v>
      </c>
      <c r="F27" s="16" t="n">
        <v>16368</v>
      </c>
      <c r="G27" s="15" t="s">
        <v>36</v>
      </c>
      <c r="H27" s="17" t="s">
        <v>2937</v>
      </c>
      <c r="I27" s="18" t="s">
        <v>3760</v>
      </c>
      <c r="J27" s="15" t="n">
        <v>2015</v>
      </c>
      <c r="K27" s="19" t="s">
        <v>27</v>
      </c>
      <c r="L27" s="15" t="s">
        <v>28</v>
      </c>
      <c r="M27" s="15" t="s">
        <v>33</v>
      </c>
      <c r="N27" s="17" t="s">
        <v>83</v>
      </c>
      <c r="O27" s="15"/>
      <c r="P27" s="15"/>
      <c r="Q27" s="21"/>
      <c r="R27" s="21"/>
      <c r="S27" s="40"/>
    </row>
    <row r="28" s="25" customFormat="true" ht="27.6" hidden="false" customHeight="false" outlineLevel="0" collapsed="false">
      <c r="A28" s="59" t="s">
        <v>3761</v>
      </c>
      <c r="B28" s="30"/>
      <c r="C28" s="70" t="s">
        <v>3707</v>
      </c>
      <c r="D28" s="15" t="n">
        <v>12</v>
      </c>
      <c r="E28" s="16" t="n">
        <v>25146</v>
      </c>
      <c r="F28" s="16" t="n">
        <v>42790</v>
      </c>
      <c r="G28" s="15" t="s">
        <v>36</v>
      </c>
      <c r="H28" s="17" t="s">
        <v>2937</v>
      </c>
      <c r="I28" s="98" t="s">
        <v>3762</v>
      </c>
      <c r="J28" s="15" t="n">
        <v>2011</v>
      </c>
      <c r="K28" s="19" t="s">
        <v>27</v>
      </c>
      <c r="L28" s="15" t="s">
        <v>28</v>
      </c>
      <c r="M28" s="15" t="s">
        <v>33</v>
      </c>
      <c r="N28" s="15"/>
      <c r="O28" s="15"/>
      <c r="P28" s="15"/>
      <c r="Q28" s="21"/>
      <c r="R28" s="21"/>
      <c r="S28" s="40" t="s">
        <v>3711</v>
      </c>
    </row>
    <row r="29" s="25" customFormat="true" ht="27.6" hidden="false" customHeight="false" outlineLevel="0" collapsed="false">
      <c r="A29" s="59" t="s">
        <v>3763</v>
      </c>
      <c r="B29" s="30" t="s">
        <v>3764</v>
      </c>
      <c r="C29" s="70" t="s">
        <v>3707</v>
      </c>
      <c r="D29" s="15" t="n">
        <v>12</v>
      </c>
      <c r="E29" s="16" t="n">
        <v>40194</v>
      </c>
      <c r="F29" s="16" t="n">
        <v>75108</v>
      </c>
      <c r="G29" s="15" t="s">
        <v>36</v>
      </c>
      <c r="H29" s="17" t="s">
        <v>2937</v>
      </c>
      <c r="I29" s="98" t="s">
        <v>3765</v>
      </c>
      <c r="J29" s="15" t="n">
        <v>2010</v>
      </c>
      <c r="K29" s="19" t="s">
        <v>27</v>
      </c>
      <c r="L29" s="15" t="s">
        <v>28</v>
      </c>
      <c r="M29" s="15" t="s">
        <v>33</v>
      </c>
      <c r="N29" s="15" t="s">
        <v>512</v>
      </c>
      <c r="O29" s="15" t="s">
        <v>54</v>
      </c>
      <c r="P29" s="15"/>
      <c r="Q29" s="21"/>
      <c r="R29" s="21"/>
      <c r="S29" s="40" t="s">
        <v>3711</v>
      </c>
    </row>
    <row r="30" s="25" customFormat="true" ht="27.6" hidden="false" customHeight="false" outlineLevel="0" collapsed="false">
      <c r="A30" s="59" t="s">
        <v>3766</v>
      </c>
      <c r="B30" s="30" t="s">
        <v>3767</v>
      </c>
      <c r="C30" s="14" t="s">
        <v>3707</v>
      </c>
      <c r="D30" s="15" t="n">
        <v>12</v>
      </c>
      <c r="E30" s="16" t="n">
        <v>24750</v>
      </c>
      <c r="F30" s="16" t="n">
        <v>42504</v>
      </c>
      <c r="G30" s="15" t="s">
        <v>36</v>
      </c>
      <c r="H30" s="17" t="s">
        <v>2937</v>
      </c>
      <c r="I30" s="18" t="s">
        <v>3768</v>
      </c>
      <c r="J30" s="15" t="n">
        <v>2015</v>
      </c>
      <c r="K30" s="19" t="s">
        <v>27</v>
      </c>
      <c r="L30" s="15" t="s">
        <v>28</v>
      </c>
      <c r="M30" s="15" t="s">
        <v>33</v>
      </c>
      <c r="N30" s="17" t="s">
        <v>83</v>
      </c>
      <c r="O30" s="15"/>
      <c r="P30" s="15"/>
      <c r="Q30" s="21"/>
      <c r="R30" s="21"/>
      <c r="S30" s="40" t="s">
        <v>3769</v>
      </c>
    </row>
    <row r="31" s="25" customFormat="true" ht="28.95" hidden="false" customHeight="true" outlineLevel="0" collapsed="false">
      <c r="A31" s="59" t="s">
        <v>3770</v>
      </c>
      <c r="B31" s="30" t="s">
        <v>3771</v>
      </c>
      <c r="C31" s="14" t="s">
        <v>3707</v>
      </c>
      <c r="D31" s="15" t="n">
        <v>12</v>
      </c>
      <c r="E31" s="16" t="n">
        <v>13662</v>
      </c>
      <c r="F31" s="16" t="n">
        <v>23364</v>
      </c>
      <c r="G31" s="15" t="s">
        <v>36</v>
      </c>
      <c r="H31" s="17" t="s">
        <v>2937</v>
      </c>
      <c r="I31" s="18" t="s">
        <v>3772</v>
      </c>
      <c r="J31" s="15" t="n">
        <v>2015</v>
      </c>
      <c r="K31" s="19" t="s">
        <v>27</v>
      </c>
      <c r="L31" s="15" t="s">
        <v>28</v>
      </c>
      <c r="M31" s="15" t="s">
        <v>33</v>
      </c>
      <c r="N31" s="17" t="s">
        <v>431</v>
      </c>
      <c r="O31" s="15"/>
      <c r="P31" s="15"/>
      <c r="Q31" s="21"/>
      <c r="R31" s="21"/>
      <c r="S31" s="40"/>
    </row>
    <row r="32" s="25" customFormat="true" ht="28.95" hidden="false" customHeight="true" outlineLevel="0" collapsed="false">
      <c r="A32" s="59" t="s">
        <v>3773</v>
      </c>
      <c r="B32" s="30" t="s">
        <v>3774</v>
      </c>
      <c r="C32" s="14" t="s">
        <v>3707</v>
      </c>
      <c r="D32" s="15" t="n">
        <v>12</v>
      </c>
      <c r="E32" s="16" t="n">
        <v>13662</v>
      </c>
      <c r="F32" s="16" t="n">
        <v>25212</v>
      </c>
      <c r="G32" s="15" t="s">
        <v>36</v>
      </c>
      <c r="H32" s="17" t="s">
        <v>2937</v>
      </c>
      <c r="I32" s="18" t="s">
        <v>3775</v>
      </c>
      <c r="J32" s="15" t="n">
        <v>2015</v>
      </c>
      <c r="K32" s="19" t="s">
        <v>27</v>
      </c>
      <c r="L32" s="15" t="s">
        <v>28</v>
      </c>
      <c r="M32" s="15" t="s">
        <v>33</v>
      </c>
      <c r="N32" s="17" t="s">
        <v>45</v>
      </c>
      <c r="O32" s="15"/>
      <c r="P32" s="15"/>
      <c r="Q32" s="21"/>
      <c r="R32" s="21"/>
      <c r="S32" s="40"/>
    </row>
    <row r="33" s="25" customFormat="true" ht="27.6" hidden="false" customHeight="false" outlineLevel="0" collapsed="false">
      <c r="A33" s="59" t="s">
        <v>3776</v>
      </c>
      <c r="B33" s="30" t="s">
        <v>3777</v>
      </c>
      <c r="C33" s="14" t="s">
        <v>3707</v>
      </c>
      <c r="D33" s="15" t="n">
        <v>12</v>
      </c>
      <c r="E33" s="16" t="n">
        <v>13662</v>
      </c>
      <c r="F33" s="16" t="n">
        <v>23364</v>
      </c>
      <c r="G33" s="15" t="s">
        <v>36</v>
      </c>
      <c r="H33" s="17" t="s">
        <v>2937</v>
      </c>
      <c r="I33" s="18" t="s">
        <v>3778</v>
      </c>
      <c r="J33" s="15" t="n">
        <v>2015</v>
      </c>
      <c r="K33" s="19" t="s">
        <v>27</v>
      </c>
      <c r="L33" s="15" t="s">
        <v>28</v>
      </c>
      <c r="M33" s="15" t="s">
        <v>33</v>
      </c>
      <c r="N33" s="17" t="s">
        <v>431</v>
      </c>
      <c r="O33" s="15"/>
      <c r="P33" s="15"/>
      <c r="Q33" s="21"/>
      <c r="R33" s="21"/>
      <c r="S33" s="40"/>
    </row>
    <row r="34" s="25" customFormat="true" ht="27.6" hidden="false" customHeight="false" outlineLevel="0" collapsed="false">
      <c r="A34" s="59" t="s">
        <v>3779</v>
      </c>
      <c r="B34" s="30" t="s">
        <v>3780</v>
      </c>
      <c r="C34" s="14" t="s">
        <v>3707</v>
      </c>
      <c r="D34" s="15" t="n">
        <v>12</v>
      </c>
      <c r="E34" s="16" t="n">
        <v>10032</v>
      </c>
      <c r="F34" s="16" t="n">
        <v>16170</v>
      </c>
      <c r="G34" s="15" t="s">
        <v>36</v>
      </c>
      <c r="H34" s="17" t="s">
        <v>2937</v>
      </c>
      <c r="I34" s="18" t="s">
        <v>3781</v>
      </c>
      <c r="J34" s="15" t="n">
        <v>2020</v>
      </c>
      <c r="K34" s="19" t="s">
        <v>27</v>
      </c>
      <c r="L34" s="15" t="s">
        <v>28</v>
      </c>
      <c r="M34" s="15" t="s">
        <v>33</v>
      </c>
      <c r="N34" s="20"/>
      <c r="O34" s="15"/>
      <c r="P34" s="15"/>
      <c r="Q34" s="21"/>
      <c r="R34" s="21"/>
      <c r="S34" s="97"/>
    </row>
    <row r="35" s="25" customFormat="true" ht="27.6" hidden="false" customHeight="false" outlineLevel="0" collapsed="false">
      <c r="A35" s="59" t="s">
        <v>3782</v>
      </c>
      <c r="B35" s="30" t="s">
        <v>3783</v>
      </c>
      <c r="C35" s="14" t="s">
        <v>3707</v>
      </c>
      <c r="D35" s="15" t="n">
        <v>12</v>
      </c>
      <c r="E35" s="16" t="n">
        <v>15972</v>
      </c>
      <c r="F35" s="16" t="n">
        <v>28512</v>
      </c>
      <c r="G35" s="15" t="s">
        <v>36</v>
      </c>
      <c r="H35" s="17" t="s">
        <v>2937</v>
      </c>
      <c r="I35" s="18" t="s">
        <v>3784</v>
      </c>
      <c r="J35" s="15" t="n">
        <v>2015</v>
      </c>
      <c r="K35" s="19" t="s">
        <v>27</v>
      </c>
      <c r="L35" s="15" t="s">
        <v>28</v>
      </c>
      <c r="M35" s="15" t="s">
        <v>33</v>
      </c>
      <c r="N35" s="17" t="s">
        <v>83</v>
      </c>
      <c r="O35" s="15"/>
      <c r="P35" s="15"/>
      <c r="Q35" s="21"/>
      <c r="R35" s="21"/>
      <c r="S35" s="40" t="s">
        <v>3785</v>
      </c>
    </row>
    <row r="36" s="25" customFormat="true" ht="27.6" hidden="false" customHeight="false" outlineLevel="0" collapsed="false">
      <c r="A36" s="59" t="s">
        <v>3786</v>
      </c>
      <c r="B36" s="30"/>
      <c r="C36" s="14" t="s">
        <v>3707</v>
      </c>
      <c r="D36" s="15" t="n">
        <v>12</v>
      </c>
      <c r="E36" s="16" t="n">
        <v>4972</v>
      </c>
      <c r="F36" s="16" t="n">
        <v>8635</v>
      </c>
      <c r="G36" s="15" t="s">
        <v>36</v>
      </c>
      <c r="H36" s="17" t="s">
        <v>2937</v>
      </c>
      <c r="I36" s="18" t="s">
        <v>3787</v>
      </c>
      <c r="J36" s="15" t="n">
        <v>2024</v>
      </c>
      <c r="K36" s="19" t="s">
        <v>27</v>
      </c>
      <c r="L36" s="15" t="s">
        <v>28</v>
      </c>
      <c r="M36" s="15" t="s">
        <v>33</v>
      </c>
      <c r="N36" s="17" t="s">
        <v>83</v>
      </c>
      <c r="O36" s="15"/>
      <c r="P36" s="15"/>
      <c r="Q36" s="21"/>
      <c r="R36" s="21"/>
      <c r="S36" s="40" t="s">
        <v>3711</v>
      </c>
    </row>
    <row r="37" s="25" customFormat="true" ht="27.6" hidden="false" customHeight="false" outlineLevel="0" collapsed="false">
      <c r="A37" s="59" t="s">
        <v>3788</v>
      </c>
      <c r="B37" s="30"/>
      <c r="C37" s="14" t="s">
        <v>3707</v>
      </c>
      <c r="D37" s="15" t="n">
        <v>12</v>
      </c>
      <c r="E37" s="16" t="n">
        <v>4972</v>
      </c>
      <c r="F37" s="16" t="n">
        <v>8635</v>
      </c>
      <c r="G37" s="15" t="s">
        <v>36</v>
      </c>
      <c r="H37" s="17" t="s">
        <v>2937</v>
      </c>
      <c r="I37" s="18" t="s">
        <v>3789</v>
      </c>
      <c r="J37" s="15" t="n">
        <v>2021</v>
      </c>
      <c r="K37" s="19" t="s">
        <v>27</v>
      </c>
      <c r="L37" s="15" t="s">
        <v>28</v>
      </c>
      <c r="M37" s="15" t="s">
        <v>33</v>
      </c>
      <c r="N37" s="17" t="s">
        <v>83</v>
      </c>
      <c r="O37" s="15"/>
      <c r="P37" s="15"/>
      <c r="Q37" s="21"/>
      <c r="R37" s="21"/>
      <c r="S37" s="40" t="s">
        <v>3711</v>
      </c>
    </row>
    <row r="38" s="25" customFormat="true" ht="27.6" hidden="false" customHeight="false" outlineLevel="0" collapsed="false">
      <c r="A38" s="59" t="s">
        <v>3790</v>
      </c>
      <c r="B38" s="30"/>
      <c r="C38" s="14" t="s">
        <v>3707</v>
      </c>
      <c r="D38" s="15" t="n">
        <v>12</v>
      </c>
      <c r="E38" s="16" t="n">
        <v>4972</v>
      </c>
      <c r="F38" s="16" t="n">
        <v>8635</v>
      </c>
      <c r="G38" s="15" t="s">
        <v>36</v>
      </c>
      <c r="H38" s="17" t="s">
        <v>2937</v>
      </c>
      <c r="I38" s="18" t="s">
        <v>3791</v>
      </c>
      <c r="J38" s="15" t="n">
        <v>2024</v>
      </c>
      <c r="K38" s="19" t="s">
        <v>27</v>
      </c>
      <c r="L38" s="15" t="s">
        <v>28</v>
      </c>
      <c r="M38" s="15" t="s">
        <v>33</v>
      </c>
      <c r="N38" s="17" t="s">
        <v>83</v>
      </c>
      <c r="O38" s="15"/>
      <c r="P38" s="15"/>
      <c r="Q38" s="21"/>
      <c r="R38" s="21"/>
      <c r="S38" s="40" t="s">
        <v>3711</v>
      </c>
    </row>
    <row r="39" s="25" customFormat="true" ht="27.6" hidden="false" customHeight="false" outlineLevel="0" collapsed="false">
      <c r="A39" s="59" t="s">
        <v>3792</v>
      </c>
      <c r="B39" s="30"/>
      <c r="C39" s="14" t="s">
        <v>3707</v>
      </c>
      <c r="D39" s="15" t="n">
        <v>12</v>
      </c>
      <c r="E39" s="16" t="n">
        <v>4972</v>
      </c>
      <c r="F39" s="16" t="n">
        <v>8635</v>
      </c>
      <c r="G39" s="15" t="s">
        <v>36</v>
      </c>
      <c r="H39" s="17" t="s">
        <v>2937</v>
      </c>
      <c r="I39" s="18" t="s">
        <v>3793</v>
      </c>
      <c r="J39" s="15" t="n">
        <v>2021</v>
      </c>
      <c r="K39" s="19" t="s">
        <v>27</v>
      </c>
      <c r="L39" s="15" t="s">
        <v>28</v>
      </c>
      <c r="M39" s="15" t="s">
        <v>33</v>
      </c>
      <c r="N39" s="17" t="s">
        <v>83</v>
      </c>
      <c r="O39" s="15"/>
      <c r="P39" s="15"/>
      <c r="Q39" s="21"/>
      <c r="R39" s="21"/>
      <c r="S39" s="40" t="s">
        <v>3711</v>
      </c>
    </row>
    <row r="40" s="25" customFormat="true" ht="27.6" hidden="false" customHeight="false" outlineLevel="0" collapsed="false">
      <c r="A40" s="59" t="s">
        <v>3794</v>
      </c>
      <c r="B40" s="30"/>
      <c r="C40" s="14" t="s">
        <v>3707</v>
      </c>
      <c r="D40" s="15" t="n">
        <v>12</v>
      </c>
      <c r="E40" s="16" t="n">
        <v>4972</v>
      </c>
      <c r="F40" s="16" t="n">
        <v>8635</v>
      </c>
      <c r="G40" s="15" t="s">
        <v>36</v>
      </c>
      <c r="H40" s="17" t="s">
        <v>2937</v>
      </c>
      <c r="I40" s="18" t="s">
        <v>3795</v>
      </c>
      <c r="J40" s="15" t="n">
        <v>2024</v>
      </c>
      <c r="K40" s="19" t="s">
        <v>27</v>
      </c>
      <c r="L40" s="15" t="s">
        <v>28</v>
      </c>
      <c r="M40" s="15" t="s">
        <v>33</v>
      </c>
      <c r="N40" s="17" t="s">
        <v>83</v>
      </c>
      <c r="O40" s="15"/>
      <c r="P40" s="15"/>
      <c r="Q40" s="21"/>
      <c r="R40" s="21"/>
      <c r="S40" s="40" t="s">
        <v>3711</v>
      </c>
    </row>
    <row r="41" s="25" customFormat="true" ht="27.6" hidden="false" customHeight="false" outlineLevel="0" collapsed="false">
      <c r="A41" s="59" t="s">
        <v>3796</v>
      </c>
      <c r="B41" s="30"/>
      <c r="C41" s="14" t="s">
        <v>3707</v>
      </c>
      <c r="D41" s="15" t="n">
        <v>12</v>
      </c>
      <c r="E41" s="16" t="n">
        <v>4972</v>
      </c>
      <c r="F41" s="16" t="n">
        <v>8635</v>
      </c>
      <c r="G41" s="15" t="s">
        <v>36</v>
      </c>
      <c r="H41" s="17" t="s">
        <v>2937</v>
      </c>
      <c r="I41" s="18" t="s">
        <v>3797</v>
      </c>
      <c r="J41" s="15" t="n">
        <v>2024</v>
      </c>
      <c r="K41" s="19" t="s">
        <v>27</v>
      </c>
      <c r="L41" s="15" t="s">
        <v>28</v>
      </c>
      <c r="M41" s="15" t="s">
        <v>33</v>
      </c>
      <c r="N41" s="17" t="s">
        <v>83</v>
      </c>
      <c r="O41" s="15"/>
      <c r="P41" s="15"/>
      <c r="Q41" s="21"/>
      <c r="R41" s="21"/>
      <c r="S41" s="40" t="s">
        <v>3711</v>
      </c>
    </row>
    <row r="42" s="25" customFormat="true" ht="27.6" hidden="false" customHeight="false" outlineLevel="0" collapsed="false">
      <c r="A42" s="59" t="s">
        <v>3798</v>
      </c>
      <c r="B42" s="30"/>
      <c r="C42" s="14" t="s">
        <v>3707</v>
      </c>
      <c r="D42" s="15" t="n">
        <v>12</v>
      </c>
      <c r="E42" s="16" t="n">
        <v>4972</v>
      </c>
      <c r="F42" s="16" t="n">
        <v>8635</v>
      </c>
      <c r="G42" s="15" t="s">
        <v>36</v>
      </c>
      <c r="H42" s="17" t="s">
        <v>2937</v>
      </c>
      <c r="I42" s="18" t="s">
        <v>3799</v>
      </c>
      <c r="J42" s="15" t="n">
        <v>2021</v>
      </c>
      <c r="K42" s="19" t="s">
        <v>27</v>
      </c>
      <c r="L42" s="15" t="s">
        <v>28</v>
      </c>
      <c r="M42" s="15" t="s">
        <v>33</v>
      </c>
      <c r="N42" s="17" t="s">
        <v>83</v>
      </c>
      <c r="O42" s="15"/>
      <c r="P42" s="15"/>
      <c r="Q42" s="21"/>
      <c r="R42" s="21"/>
      <c r="S42" s="40" t="s">
        <v>3711</v>
      </c>
    </row>
    <row r="43" s="25" customFormat="true" ht="27.6" hidden="false" customHeight="false" outlineLevel="0" collapsed="false">
      <c r="A43" s="59" t="s">
        <v>3800</v>
      </c>
      <c r="B43" s="30"/>
      <c r="C43" s="14" t="s">
        <v>3707</v>
      </c>
      <c r="D43" s="15" t="n">
        <v>12</v>
      </c>
      <c r="E43" s="16" t="n">
        <v>4972</v>
      </c>
      <c r="F43" s="16" t="n">
        <v>8635</v>
      </c>
      <c r="G43" s="15" t="s">
        <v>36</v>
      </c>
      <c r="H43" s="17" t="s">
        <v>2937</v>
      </c>
      <c r="I43" s="18" t="s">
        <v>3801</v>
      </c>
      <c r="J43" s="15" t="n">
        <v>2022</v>
      </c>
      <c r="K43" s="19" t="s">
        <v>27</v>
      </c>
      <c r="L43" s="15" t="s">
        <v>28</v>
      </c>
      <c r="M43" s="15" t="s">
        <v>33</v>
      </c>
      <c r="N43" s="17" t="s">
        <v>83</v>
      </c>
      <c r="O43" s="15"/>
      <c r="P43" s="15"/>
      <c r="Q43" s="21"/>
      <c r="R43" s="21"/>
      <c r="S43" s="40" t="s">
        <v>3711</v>
      </c>
    </row>
    <row r="44" s="25" customFormat="true" ht="27.6" hidden="false" customHeight="false" outlineLevel="0" collapsed="false">
      <c r="A44" s="59" t="s">
        <v>3802</v>
      </c>
      <c r="B44" s="30"/>
      <c r="C44" s="14" t="s">
        <v>3707</v>
      </c>
      <c r="D44" s="15" t="n">
        <v>12</v>
      </c>
      <c r="E44" s="16" t="n">
        <v>4972</v>
      </c>
      <c r="F44" s="16" t="n">
        <v>8635</v>
      </c>
      <c r="G44" s="15" t="s">
        <v>36</v>
      </c>
      <c r="H44" s="17" t="s">
        <v>2937</v>
      </c>
      <c r="I44" s="18" t="s">
        <v>3803</v>
      </c>
      <c r="J44" s="15" t="n">
        <v>2024</v>
      </c>
      <c r="K44" s="19" t="s">
        <v>27</v>
      </c>
      <c r="L44" s="15" t="s">
        <v>28</v>
      </c>
      <c r="M44" s="15" t="s">
        <v>33</v>
      </c>
      <c r="N44" s="17" t="s">
        <v>83</v>
      </c>
      <c r="O44" s="15"/>
      <c r="P44" s="15"/>
      <c r="Q44" s="21"/>
      <c r="R44" s="21"/>
      <c r="S44" s="40" t="s">
        <v>3711</v>
      </c>
    </row>
    <row r="45" s="25" customFormat="true" ht="27.6" hidden="false" customHeight="false" outlineLevel="0" collapsed="false">
      <c r="A45" s="59" t="s">
        <v>3804</v>
      </c>
      <c r="B45" s="30"/>
      <c r="C45" s="14" t="s">
        <v>3707</v>
      </c>
      <c r="D45" s="15" t="n">
        <v>12</v>
      </c>
      <c r="E45" s="16" t="n">
        <v>4972</v>
      </c>
      <c r="F45" s="16" t="n">
        <v>8635</v>
      </c>
      <c r="G45" s="15" t="s">
        <v>36</v>
      </c>
      <c r="H45" s="17" t="s">
        <v>2937</v>
      </c>
      <c r="I45" s="18" t="s">
        <v>3805</v>
      </c>
      <c r="J45" s="15" t="n">
        <v>2024</v>
      </c>
      <c r="K45" s="19" t="s">
        <v>27</v>
      </c>
      <c r="L45" s="15" t="s">
        <v>28</v>
      </c>
      <c r="M45" s="15" t="s">
        <v>33</v>
      </c>
      <c r="N45" s="17" t="s">
        <v>83</v>
      </c>
      <c r="O45" s="15"/>
      <c r="P45" s="15"/>
      <c r="Q45" s="21"/>
      <c r="R45" s="21"/>
      <c r="S45" s="40" t="s">
        <v>3711</v>
      </c>
    </row>
    <row r="46" s="25" customFormat="true" ht="27.6" hidden="false" customHeight="false" outlineLevel="0" collapsed="false">
      <c r="A46" s="59" t="s">
        <v>3806</v>
      </c>
      <c r="B46" s="30"/>
      <c r="C46" s="14" t="s">
        <v>3707</v>
      </c>
      <c r="D46" s="15" t="n">
        <v>12</v>
      </c>
      <c r="E46" s="16" t="n">
        <v>28248</v>
      </c>
      <c r="F46" s="16" t="n">
        <v>48312</v>
      </c>
      <c r="G46" s="15" t="s">
        <v>36</v>
      </c>
      <c r="H46" s="17" t="s">
        <v>2937</v>
      </c>
      <c r="I46" s="18" t="s">
        <v>3807</v>
      </c>
      <c r="J46" s="15" t="n">
        <v>2010</v>
      </c>
      <c r="K46" s="19" t="s">
        <v>27</v>
      </c>
      <c r="L46" s="15" t="s">
        <v>28</v>
      </c>
      <c r="M46" s="15" t="s">
        <v>33</v>
      </c>
      <c r="N46" s="17" t="s">
        <v>512</v>
      </c>
      <c r="O46" s="15"/>
      <c r="P46" s="15"/>
      <c r="Q46" s="21"/>
      <c r="R46" s="21"/>
      <c r="S46" s="40" t="s">
        <v>3711</v>
      </c>
    </row>
    <row r="47" s="25" customFormat="true" ht="27.6" hidden="false" customHeight="false" outlineLevel="0" collapsed="false">
      <c r="A47" s="59" t="s">
        <v>3808</v>
      </c>
      <c r="B47" s="30" t="s">
        <v>3809</v>
      </c>
      <c r="C47" s="14" t="s">
        <v>3707</v>
      </c>
      <c r="D47" s="15" t="n">
        <v>12</v>
      </c>
      <c r="E47" s="16" t="n">
        <v>29040</v>
      </c>
      <c r="F47" s="16" t="n">
        <v>53724</v>
      </c>
      <c r="G47" s="15" t="s">
        <v>36</v>
      </c>
      <c r="H47" s="17" t="s">
        <v>2937</v>
      </c>
      <c r="I47" s="98" t="s">
        <v>3810</v>
      </c>
      <c r="J47" s="15" t="n">
        <v>2008</v>
      </c>
      <c r="K47" s="19" t="s">
        <v>27</v>
      </c>
      <c r="L47" s="15" t="s">
        <v>28</v>
      </c>
      <c r="M47" s="15" t="s">
        <v>33</v>
      </c>
      <c r="N47" s="15"/>
      <c r="O47" s="15"/>
      <c r="P47" s="15"/>
      <c r="Q47" s="21"/>
      <c r="R47" s="21"/>
      <c r="S47" s="40" t="s">
        <v>3711</v>
      </c>
    </row>
    <row r="48" s="25" customFormat="true" ht="28.8" hidden="false" customHeight="false" outlineLevel="0" collapsed="false">
      <c r="A48" s="59" t="s">
        <v>3811</v>
      </c>
      <c r="B48" s="30" t="s">
        <v>3812</v>
      </c>
      <c r="C48" s="14" t="s">
        <v>3707</v>
      </c>
      <c r="D48" s="15" t="n">
        <v>12</v>
      </c>
      <c r="E48" s="16" t="n">
        <v>15708</v>
      </c>
      <c r="F48" s="16" t="n">
        <v>29304</v>
      </c>
      <c r="G48" s="15" t="s">
        <v>36</v>
      </c>
      <c r="H48" s="17" t="s">
        <v>2937</v>
      </c>
      <c r="I48" s="18" t="s">
        <v>3813</v>
      </c>
      <c r="J48" s="15" t="n">
        <v>2015</v>
      </c>
      <c r="K48" s="19" t="s">
        <v>27</v>
      </c>
      <c r="L48" s="15" t="s">
        <v>28</v>
      </c>
      <c r="M48" s="15" t="s">
        <v>33</v>
      </c>
      <c r="N48" s="17" t="s">
        <v>83</v>
      </c>
      <c r="O48" s="15"/>
      <c r="P48" s="15"/>
      <c r="Q48" s="21"/>
      <c r="R48" s="21"/>
      <c r="S48" s="40" t="s">
        <v>3814</v>
      </c>
    </row>
    <row r="49" s="25" customFormat="true" ht="27.6" hidden="false" customHeight="false" outlineLevel="0" collapsed="false">
      <c r="A49" s="59" t="s">
        <v>3815</v>
      </c>
      <c r="B49" s="30" t="s">
        <v>3816</v>
      </c>
      <c r="C49" s="14" t="s">
        <v>3707</v>
      </c>
      <c r="D49" s="15" t="n">
        <v>12</v>
      </c>
      <c r="E49" s="16" t="n">
        <v>15114</v>
      </c>
      <c r="F49" s="16" t="n">
        <v>27060</v>
      </c>
      <c r="G49" s="15" t="s">
        <v>36</v>
      </c>
      <c r="H49" s="17" t="s">
        <v>2937</v>
      </c>
      <c r="I49" s="18" t="s">
        <v>3817</v>
      </c>
      <c r="J49" s="15" t="n">
        <v>2015</v>
      </c>
      <c r="K49" s="19" t="s">
        <v>27</v>
      </c>
      <c r="L49" s="15" t="s">
        <v>28</v>
      </c>
      <c r="M49" s="15" t="s">
        <v>33</v>
      </c>
      <c r="N49" s="17" t="s">
        <v>45</v>
      </c>
      <c r="O49" s="15"/>
      <c r="P49" s="15"/>
      <c r="Q49" s="21"/>
      <c r="R49" s="21"/>
      <c r="S49" s="40" t="s">
        <v>3818</v>
      </c>
    </row>
    <row r="50" s="25" customFormat="true" ht="27.6" hidden="false" customHeight="false" outlineLevel="0" collapsed="false">
      <c r="A50" s="59" t="s">
        <v>3819</v>
      </c>
      <c r="B50" s="30" t="s">
        <v>3820</v>
      </c>
      <c r="C50" s="14" t="s">
        <v>3707</v>
      </c>
      <c r="D50" s="15" t="n">
        <v>12</v>
      </c>
      <c r="E50" s="16" t="n">
        <v>25476</v>
      </c>
      <c r="F50" s="16" t="n">
        <v>44088</v>
      </c>
      <c r="G50" s="15" t="s">
        <v>36</v>
      </c>
      <c r="H50" s="17" t="s">
        <v>2937</v>
      </c>
      <c r="I50" s="18" t="s">
        <v>3821</v>
      </c>
      <c r="J50" s="15" t="n">
        <v>2015</v>
      </c>
      <c r="K50" s="19" t="s">
        <v>27</v>
      </c>
      <c r="L50" s="15" t="s">
        <v>28</v>
      </c>
      <c r="M50" s="15" t="s">
        <v>33</v>
      </c>
      <c r="N50" s="17" t="s">
        <v>123</v>
      </c>
      <c r="O50" s="15"/>
      <c r="P50" s="15"/>
      <c r="Q50" s="21"/>
      <c r="R50" s="21"/>
      <c r="S50" s="40" t="s">
        <v>3822</v>
      </c>
    </row>
    <row r="51" s="25" customFormat="true" ht="57" hidden="false" customHeight="true" outlineLevel="0" collapsed="false">
      <c r="A51" s="29" t="s">
        <v>3823</v>
      </c>
      <c r="B51" s="30" t="s">
        <v>3824</v>
      </c>
      <c r="C51" s="14" t="s">
        <v>3707</v>
      </c>
      <c r="D51" s="15" t="n">
        <v>12</v>
      </c>
      <c r="E51" s="16" t="n">
        <v>13508</v>
      </c>
      <c r="F51" s="16" t="n">
        <v>24827</v>
      </c>
      <c r="G51" s="15" t="s">
        <v>36</v>
      </c>
      <c r="H51" s="17" t="s">
        <v>2937</v>
      </c>
      <c r="I51" s="18" t="s">
        <v>3825</v>
      </c>
      <c r="J51" s="15" t="n">
        <v>2015</v>
      </c>
      <c r="K51" s="19" t="s">
        <v>27</v>
      </c>
      <c r="L51" s="15" t="s">
        <v>28</v>
      </c>
      <c r="M51" s="15" t="s">
        <v>33</v>
      </c>
      <c r="N51" s="17" t="s">
        <v>45</v>
      </c>
      <c r="O51" s="15"/>
      <c r="P51" s="15"/>
      <c r="Q51" s="21"/>
      <c r="R51" s="21"/>
      <c r="S51" s="40" t="s">
        <v>3826</v>
      </c>
    </row>
    <row r="52" s="25" customFormat="true" ht="27.6" hidden="false" customHeight="false" outlineLevel="0" collapsed="false">
      <c r="A52" s="29" t="s">
        <v>3827</v>
      </c>
      <c r="B52" s="30"/>
      <c r="C52" s="14" t="s">
        <v>3707</v>
      </c>
      <c r="D52" s="15" t="n">
        <v>12</v>
      </c>
      <c r="E52" s="73" t="s">
        <v>3828</v>
      </c>
      <c r="F52" s="16" t="n">
        <v>8635</v>
      </c>
      <c r="G52" s="15" t="s">
        <v>36</v>
      </c>
      <c r="H52" s="17" t="s">
        <v>2937</v>
      </c>
      <c r="I52" s="18" t="s">
        <v>3829</v>
      </c>
      <c r="J52" s="15" t="n">
        <v>2024</v>
      </c>
      <c r="K52" s="19" t="s">
        <v>27</v>
      </c>
      <c r="L52" s="15" t="s">
        <v>28</v>
      </c>
      <c r="M52" s="15" t="s">
        <v>33</v>
      </c>
      <c r="N52" s="17" t="s">
        <v>83</v>
      </c>
      <c r="O52" s="15"/>
      <c r="P52" s="15"/>
      <c r="Q52" s="21"/>
      <c r="R52" s="21"/>
      <c r="S52" s="40" t="s">
        <v>3711</v>
      </c>
    </row>
    <row r="53" s="25" customFormat="true" ht="27.6" hidden="false" customHeight="false" outlineLevel="0" collapsed="false">
      <c r="A53" s="29" t="s">
        <v>3830</v>
      </c>
      <c r="B53" s="30" t="s">
        <v>3831</v>
      </c>
      <c r="C53" s="14" t="s">
        <v>3707</v>
      </c>
      <c r="D53" s="15" t="n">
        <v>12</v>
      </c>
      <c r="E53" s="16" t="n">
        <v>10604</v>
      </c>
      <c r="F53" s="16" t="n">
        <v>19316</v>
      </c>
      <c r="G53" s="15" t="s">
        <v>36</v>
      </c>
      <c r="H53" s="17" t="s">
        <v>2937</v>
      </c>
      <c r="I53" s="18" t="s">
        <v>3832</v>
      </c>
      <c r="J53" s="15" t="n">
        <v>2015</v>
      </c>
      <c r="K53" s="19" t="s">
        <v>27</v>
      </c>
      <c r="L53" s="15" t="s">
        <v>28</v>
      </c>
      <c r="M53" s="15" t="s">
        <v>33</v>
      </c>
      <c r="N53" s="17" t="s">
        <v>45</v>
      </c>
      <c r="O53" s="15"/>
      <c r="P53" s="15"/>
      <c r="Q53" s="21"/>
      <c r="R53" s="21"/>
      <c r="S53" s="40" t="s">
        <v>3818</v>
      </c>
    </row>
    <row r="54" s="25" customFormat="true" ht="27.6" hidden="false" customHeight="false" outlineLevel="0" collapsed="false">
      <c r="A54" s="59" t="s">
        <v>3833</v>
      </c>
      <c r="B54" s="30" t="s">
        <v>3834</v>
      </c>
      <c r="C54" s="14" t="s">
        <v>3707</v>
      </c>
      <c r="D54" s="15" t="n">
        <v>12</v>
      </c>
      <c r="E54" s="16" t="n">
        <v>9504</v>
      </c>
      <c r="F54" s="16" t="n">
        <v>16896</v>
      </c>
      <c r="G54" s="15" t="s">
        <v>36</v>
      </c>
      <c r="H54" s="17" t="s">
        <v>2937</v>
      </c>
      <c r="I54" s="18" t="s">
        <v>3835</v>
      </c>
      <c r="J54" s="15" t="n">
        <v>2015</v>
      </c>
      <c r="K54" s="19" t="s">
        <v>27</v>
      </c>
      <c r="L54" s="15" t="s">
        <v>28</v>
      </c>
      <c r="M54" s="15" t="s">
        <v>33</v>
      </c>
      <c r="N54" s="17" t="s">
        <v>45</v>
      </c>
      <c r="O54" s="15"/>
      <c r="P54" s="15"/>
      <c r="Q54" s="21"/>
      <c r="R54" s="21"/>
      <c r="S54" s="40" t="s">
        <v>3836</v>
      </c>
    </row>
    <row r="55" s="25" customFormat="true" ht="27.6" hidden="false" customHeight="false" outlineLevel="0" collapsed="false">
      <c r="A55" s="59" t="s">
        <v>3837</v>
      </c>
      <c r="B55" s="30" t="s">
        <v>3838</v>
      </c>
      <c r="C55" s="14" t="s">
        <v>3707</v>
      </c>
      <c r="D55" s="15" t="n">
        <v>12</v>
      </c>
      <c r="E55" s="16" t="n">
        <v>13508</v>
      </c>
      <c r="F55" s="16" t="n">
        <v>24827</v>
      </c>
      <c r="G55" s="15" t="s">
        <v>36</v>
      </c>
      <c r="H55" s="17" t="s">
        <v>2937</v>
      </c>
      <c r="I55" s="18" t="s">
        <v>3839</v>
      </c>
      <c r="J55" s="15" t="n">
        <v>2015</v>
      </c>
      <c r="K55" s="19" t="s">
        <v>27</v>
      </c>
      <c r="L55" s="15" t="s">
        <v>28</v>
      </c>
      <c r="M55" s="15" t="s">
        <v>33</v>
      </c>
      <c r="N55" s="17" t="s">
        <v>45</v>
      </c>
      <c r="O55" s="15"/>
      <c r="P55" s="15"/>
      <c r="Q55" s="21"/>
      <c r="R55" s="21"/>
      <c r="S55" s="40" t="s">
        <v>3818</v>
      </c>
    </row>
    <row r="56" s="25" customFormat="true" ht="27.6" hidden="false" customHeight="false" outlineLevel="0" collapsed="false">
      <c r="A56" s="59" t="s">
        <v>3840</v>
      </c>
      <c r="B56" s="30" t="s">
        <v>3841</v>
      </c>
      <c r="C56" s="14" t="s">
        <v>3707</v>
      </c>
      <c r="D56" s="15" t="n">
        <v>12</v>
      </c>
      <c r="E56" s="16" t="n">
        <v>12870</v>
      </c>
      <c r="F56" s="16" t="n">
        <v>22836</v>
      </c>
      <c r="G56" s="15" t="s">
        <v>36</v>
      </c>
      <c r="H56" s="17" t="s">
        <v>2937</v>
      </c>
      <c r="I56" s="18" t="s">
        <v>3842</v>
      </c>
      <c r="J56" s="15" t="n">
        <v>2015</v>
      </c>
      <c r="K56" s="19" t="s">
        <v>27</v>
      </c>
      <c r="L56" s="15" t="s">
        <v>28</v>
      </c>
      <c r="M56" s="15" t="s">
        <v>33</v>
      </c>
      <c r="N56" s="17" t="s">
        <v>45</v>
      </c>
      <c r="O56" s="15"/>
      <c r="P56" s="15"/>
      <c r="Q56" s="21"/>
      <c r="R56" s="21"/>
      <c r="S56" s="40" t="s">
        <v>3843</v>
      </c>
    </row>
    <row r="57" s="25" customFormat="true" ht="55.2" hidden="false" customHeight="false" outlineLevel="0" collapsed="false">
      <c r="A57" s="59" t="s">
        <v>3844</v>
      </c>
      <c r="B57" s="30" t="s">
        <v>3845</v>
      </c>
      <c r="C57" s="14" t="s">
        <v>3707</v>
      </c>
      <c r="D57" s="15" t="n">
        <v>12</v>
      </c>
      <c r="E57" s="16" t="n">
        <v>18942</v>
      </c>
      <c r="F57" s="16" t="n">
        <v>36564</v>
      </c>
      <c r="G57" s="15" t="s">
        <v>36</v>
      </c>
      <c r="H57" s="17" t="s">
        <v>2937</v>
      </c>
      <c r="I57" s="18" t="s">
        <v>3846</v>
      </c>
      <c r="J57" s="15" t="n">
        <v>2015</v>
      </c>
      <c r="K57" s="19" t="s">
        <v>27</v>
      </c>
      <c r="L57" s="15" t="s">
        <v>28</v>
      </c>
      <c r="M57" s="15" t="s">
        <v>33</v>
      </c>
      <c r="N57" s="17" t="s">
        <v>45</v>
      </c>
      <c r="O57" s="15"/>
      <c r="P57" s="15"/>
      <c r="Q57" s="21"/>
      <c r="R57" s="21"/>
      <c r="S57" s="40" t="s">
        <v>3847</v>
      </c>
    </row>
    <row r="58" s="25" customFormat="true" ht="27.6" hidden="false" customHeight="false" outlineLevel="0" collapsed="false">
      <c r="A58" s="59" t="s">
        <v>3848</v>
      </c>
      <c r="B58" s="30" t="s">
        <v>3849</v>
      </c>
      <c r="C58" s="14" t="s">
        <v>3707</v>
      </c>
      <c r="D58" s="15" t="n">
        <v>12</v>
      </c>
      <c r="E58" s="16" t="n">
        <v>16434</v>
      </c>
      <c r="F58" s="16" t="n">
        <v>28512</v>
      </c>
      <c r="G58" s="15" t="s">
        <v>36</v>
      </c>
      <c r="H58" s="17" t="s">
        <v>2937</v>
      </c>
      <c r="I58" s="18" t="s">
        <v>3850</v>
      </c>
      <c r="J58" s="15" t="n">
        <v>2015</v>
      </c>
      <c r="K58" s="19" t="s">
        <v>27</v>
      </c>
      <c r="L58" s="15" t="s">
        <v>28</v>
      </c>
      <c r="M58" s="15" t="s">
        <v>33</v>
      </c>
      <c r="N58" s="17"/>
      <c r="O58" s="15"/>
      <c r="P58" s="15"/>
      <c r="Q58" s="21"/>
      <c r="R58" s="21"/>
      <c r="S58" s="40"/>
    </row>
    <row r="59" s="25" customFormat="true" ht="82.8" hidden="false" customHeight="false" outlineLevel="0" collapsed="false">
      <c r="A59" s="59" t="s">
        <v>3851</v>
      </c>
      <c r="B59" s="30" t="s">
        <v>3852</v>
      </c>
      <c r="C59" s="14" t="s">
        <v>3707</v>
      </c>
      <c r="D59" s="15" t="n">
        <v>12</v>
      </c>
      <c r="E59" s="16" t="n">
        <v>24024</v>
      </c>
      <c r="F59" s="16" t="n">
        <v>41052</v>
      </c>
      <c r="G59" s="15" t="s">
        <v>36</v>
      </c>
      <c r="H59" s="17" t="s">
        <v>2937</v>
      </c>
      <c r="I59" s="18" t="s">
        <v>3853</v>
      </c>
      <c r="J59" s="15" t="n">
        <v>2015</v>
      </c>
      <c r="K59" s="19" t="s">
        <v>27</v>
      </c>
      <c r="L59" s="15" t="s">
        <v>28</v>
      </c>
      <c r="M59" s="15" t="s">
        <v>33</v>
      </c>
      <c r="N59" s="17" t="s">
        <v>123</v>
      </c>
      <c r="O59" s="15"/>
      <c r="P59" s="15"/>
      <c r="Q59" s="21"/>
      <c r="R59" s="21"/>
      <c r="S59" s="40" t="s">
        <v>3854</v>
      </c>
    </row>
    <row r="60" s="25" customFormat="true" ht="27.6" hidden="false" customHeight="false" outlineLevel="0" collapsed="false">
      <c r="A60" s="59" t="s">
        <v>3855</v>
      </c>
      <c r="B60" s="30" t="s">
        <v>3856</v>
      </c>
      <c r="C60" s="14" t="s">
        <v>3707</v>
      </c>
      <c r="D60" s="15" t="n">
        <v>12</v>
      </c>
      <c r="E60" s="16" t="n">
        <v>11682</v>
      </c>
      <c r="F60" s="16" t="n">
        <v>21252</v>
      </c>
      <c r="G60" s="15" t="s">
        <v>36</v>
      </c>
      <c r="H60" s="17" t="s">
        <v>2937</v>
      </c>
      <c r="I60" s="18" t="s">
        <v>3857</v>
      </c>
      <c r="J60" s="15" t="n">
        <v>2015</v>
      </c>
      <c r="K60" s="19" t="s">
        <v>27</v>
      </c>
      <c r="L60" s="15" t="s">
        <v>28</v>
      </c>
      <c r="M60" s="15" t="s">
        <v>33</v>
      </c>
      <c r="N60" s="17" t="s">
        <v>45</v>
      </c>
      <c r="O60" s="15"/>
      <c r="P60" s="15"/>
      <c r="Q60" s="21"/>
      <c r="R60" s="21"/>
      <c r="S60" s="40"/>
    </row>
    <row r="61" s="25" customFormat="true" ht="27.6" hidden="false" customHeight="false" outlineLevel="0" collapsed="false">
      <c r="A61" s="59" t="s">
        <v>3858</v>
      </c>
      <c r="B61" s="30" t="s">
        <v>3859</v>
      </c>
      <c r="C61" s="14" t="s">
        <v>3707</v>
      </c>
      <c r="D61" s="15" t="n">
        <v>12</v>
      </c>
      <c r="E61" s="16" t="n">
        <v>25608</v>
      </c>
      <c r="F61" s="16" t="n">
        <v>46728</v>
      </c>
      <c r="G61" s="15" t="s">
        <v>36</v>
      </c>
      <c r="H61" s="17" t="s">
        <v>2937</v>
      </c>
      <c r="I61" s="98" t="s">
        <v>3860</v>
      </c>
      <c r="J61" s="15" t="n">
        <v>2008</v>
      </c>
      <c r="K61" s="19" t="s">
        <v>27</v>
      </c>
      <c r="L61" s="15" t="s">
        <v>28</v>
      </c>
      <c r="M61" s="15" t="s">
        <v>33</v>
      </c>
      <c r="N61" s="17" t="s">
        <v>72</v>
      </c>
      <c r="O61" s="15"/>
      <c r="P61" s="15"/>
      <c r="Q61" s="21"/>
      <c r="R61" s="21"/>
      <c r="S61" s="40" t="s">
        <v>3711</v>
      </c>
    </row>
    <row r="62" s="25" customFormat="true" ht="27.6" hidden="false" customHeight="false" outlineLevel="0" collapsed="false">
      <c r="A62" s="59" t="s">
        <v>3861</v>
      </c>
      <c r="B62" s="30" t="s">
        <v>3862</v>
      </c>
      <c r="C62" s="14" t="s">
        <v>3707</v>
      </c>
      <c r="D62" s="15" t="n">
        <v>12</v>
      </c>
      <c r="E62" s="16" t="n">
        <v>24486</v>
      </c>
      <c r="F62" s="16" t="n">
        <v>44484</v>
      </c>
      <c r="G62" s="15" t="s">
        <v>36</v>
      </c>
      <c r="H62" s="17" t="s">
        <v>2937</v>
      </c>
      <c r="I62" s="98" t="s">
        <v>3863</v>
      </c>
      <c r="J62" s="15" t="n">
        <v>2008</v>
      </c>
      <c r="K62" s="19" t="s">
        <v>27</v>
      </c>
      <c r="L62" s="15" t="s">
        <v>28</v>
      </c>
      <c r="M62" s="15" t="s">
        <v>33</v>
      </c>
      <c r="N62" s="17" t="s">
        <v>72</v>
      </c>
      <c r="O62" s="15"/>
      <c r="P62" s="15"/>
      <c r="Q62" s="21"/>
      <c r="R62" s="21"/>
      <c r="S62" s="40" t="s">
        <v>3711</v>
      </c>
    </row>
    <row r="63" customFormat="false" ht="27.6" hidden="false" customHeight="false" outlineLevel="0" collapsed="false">
      <c r="A63" s="59" t="s">
        <v>3864</v>
      </c>
      <c r="B63" s="30" t="s">
        <v>3865</v>
      </c>
      <c r="C63" s="14" t="s">
        <v>3707</v>
      </c>
      <c r="D63" s="15" t="n">
        <v>12</v>
      </c>
      <c r="E63" s="16" t="n">
        <v>8228</v>
      </c>
      <c r="F63" s="16" t="n">
        <v>14520</v>
      </c>
      <c r="G63" s="15" t="s">
        <v>36</v>
      </c>
      <c r="H63" s="17" t="s">
        <v>2937</v>
      </c>
      <c r="I63" s="18" t="s">
        <v>3866</v>
      </c>
      <c r="J63" s="15" t="n">
        <v>2015</v>
      </c>
      <c r="K63" s="19" t="s">
        <v>27</v>
      </c>
      <c r="L63" s="15" t="s">
        <v>28</v>
      </c>
      <c r="M63" s="15" t="s">
        <v>33</v>
      </c>
      <c r="N63" s="17" t="s">
        <v>83</v>
      </c>
      <c r="O63" s="15"/>
      <c r="P63" s="15"/>
      <c r="Q63" s="21"/>
      <c r="R63" s="21"/>
      <c r="S63" s="40" t="s">
        <v>3711</v>
      </c>
      <c r="T63" s="25"/>
      <c r="U63" s="25"/>
    </row>
    <row r="64" s="25" customFormat="true" ht="27.6" hidden="false" customHeight="false" outlineLevel="0" collapsed="false">
      <c r="A64" s="59" t="s">
        <v>3867</v>
      </c>
      <c r="B64" s="30" t="s">
        <v>3868</v>
      </c>
      <c r="C64" s="14" t="s">
        <v>3707</v>
      </c>
      <c r="D64" s="15" t="n">
        <v>12</v>
      </c>
      <c r="E64" s="16" t="n">
        <v>11253</v>
      </c>
      <c r="F64" s="16" t="n">
        <v>20614</v>
      </c>
      <c r="G64" s="15" t="s">
        <v>36</v>
      </c>
      <c r="H64" s="17" t="s">
        <v>2937</v>
      </c>
      <c r="I64" s="18" t="s">
        <v>3869</v>
      </c>
      <c r="J64" s="15" t="n">
        <v>2015</v>
      </c>
      <c r="K64" s="19" t="s">
        <v>27</v>
      </c>
      <c r="L64" s="15" t="s">
        <v>28</v>
      </c>
      <c r="M64" s="15" t="s">
        <v>33</v>
      </c>
      <c r="N64" s="17" t="s">
        <v>45</v>
      </c>
      <c r="O64" s="15"/>
      <c r="P64" s="15"/>
      <c r="Q64" s="21"/>
      <c r="R64" s="21"/>
      <c r="S64" s="40" t="s">
        <v>3870</v>
      </c>
    </row>
    <row r="65" s="25" customFormat="true" ht="28.8" hidden="false" customHeight="false" outlineLevel="0" collapsed="false">
      <c r="A65" s="59" t="s">
        <v>3871</v>
      </c>
      <c r="B65" s="30" t="s">
        <v>3872</v>
      </c>
      <c r="C65" s="14" t="s">
        <v>3707</v>
      </c>
      <c r="D65" s="15" t="n">
        <v>12</v>
      </c>
      <c r="E65" s="16" t="n">
        <v>8778</v>
      </c>
      <c r="F65" s="16" t="n">
        <v>16368</v>
      </c>
      <c r="G65" s="15" t="s">
        <v>36</v>
      </c>
      <c r="H65" s="17" t="s">
        <v>2937</v>
      </c>
      <c r="I65" s="18" t="s">
        <v>3873</v>
      </c>
      <c r="J65" s="15" t="n">
        <v>2015</v>
      </c>
      <c r="K65" s="19" t="s">
        <v>27</v>
      </c>
      <c r="L65" s="15" t="s">
        <v>28</v>
      </c>
      <c r="M65" s="15" t="s">
        <v>33</v>
      </c>
      <c r="N65" s="17" t="s">
        <v>45</v>
      </c>
      <c r="O65" s="15"/>
      <c r="P65" s="15"/>
      <c r="Q65" s="21"/>
      <c r="R65" s="21"/>
      <c r="S65" s="40" t="s">
        <v>3818</v>
      </c>
    </row>
    <row r="66" s="25" customFormat="true" ht="27.6" hidden="false" customHeight="false" outlineLevel="0" collapsed="false">
      <c r="A66" s="59" t="s">
        <v>3874</v>
      </c>
      <c r="B66" s="30"/>
      <c r="C66" s="14" t="s">
        <v>3707</v>
      </c>
      <c r="D66" s="15" t="n">
        <v>12</v>
      </c>
      <c r="E66" s="16" t="n">
        <v>17358</v>
      </c>
      <c r="F66" s="16" t="n">
        <v>31680</v>
      </c>
      <c r="G66" s="15" t="s">
        <v>36</v>
      </c>
      <c r="H66" s="17" t="s">
        <v>2937</v>
      </c>
      <c r="I66" s="98" t="s">
        <v>3875</v>
      </c>
      <c r="J66" s="15" t="n">
        <v>2008</v>
      </c>
      <c r="K66" s="19" t="s">
        <v>27</v>
      </c>
      <c r="L66" s="15" t="s">
        <v>28</v>
      </c>
      <c r="M66" s="15" t="s">
        <v>33</v>
      </c>
      <c r="N66" s="15" t="s">
        <v>512</v>
      </c>
      <c r="O66" s="15"/>
      <c r="P66" s="15"/>
      <c r="Q66" s="21"/>
      <c r="R66" s="21"/>
      <c r="S66" s="40" t="s">
        <v>3711</v>
      </c>
    </row>
    <row r="67" s="25" customFormat="true" ht="27.6" hidden="false" customHeight="false" outlineLevel="0" collapsed="false">
      <c r="A67" s="59" t="s">
        <v>3876</v>
      </c>
      <c r="B67" s="30" t="s">
        <v>3877</v>
      </c>
      <c r="C67" s="14" t="s">
        <v>3707</v>
      </c>
      <c r="D67" s="15" t="n">
        <v>12</v>
      </c>
      <c r="E67" s="16" t="n">
        <v>24816</v>
      </c>
      <c r="F67" s="16" t="n">
        <v>41712</v>
      </c>
      <c r="G67" s="15" t="s">
        <v>36</v>
      </c>
      <c r="H67" s="17" t="s">
        <v>2937</v>
      </c>
      <c r="I67" s="18" t="s">
        <v>3878</v>
      </c>
      <c r="J67" s="15" t="s">
        <v>3879</v>
      </c>
      <c r="K67" s="19" t="s">
        <v>27</v>
      </c>
      <c r="L67" s="15" t="s">
        <v>28</v>
      </c>
      <c r="M67" s="15" t="s">
        <v>33</v>
      </c>
      <c r="N67" s="15"/>
      <c r="O67" s="15"/>
      <c r="P67" s="15"/>
      <c r="Q67" s="21"/>
      <c r="R67" s="21"/>
      <c r="S67" s="40" t="s">
        <v>3880</v>
      </c>
    </row>
    <row r="68" s="25" customFormat="true" ht="27.6" hidden="false" customHeight="false" outlineLevel="0" collapsed="false">
      <c r="A68" s="59" t="s">
        <v>3881</v>
      </c>
      <c r="B68" s="30" t="s">
        <v>3882</v>
      </c>
      <c r="C68" s="70" t="s">
        <v>3707</v>
      </c>
      <c r="D68" s="15" t="n">
        <v>48</v>
      </c>
      <c r="E68" s="16" t="n">
        <v>26004</v>
      </c>
      <c r="F68" s="16" t="n">
        <v>43692</v>
      </c>
      <c r="G68" s="15" t="s">
        <v>36</v>
      </c>
      <c r="H68" s="17" t="s">
        <v>2937</v>
      </c>
      <c r="I68" s="98" t="s">
        <v>3883</v>
      </c>
      <c r="J68" s="15" t="n">
        <v>2008</v>
      </c>
      <c r="K68" s="19" t="s">
        <v>27</v>
      </c>
      <c r="L68" s="15" t="s">
        <v>103</v>
      </c>
      <c r="M68" s="15" t="s">
        <v>33</v>
      </c>
      <c r="N68" s="15" t="s">
        <v>512</v>
      </c>
      <c r="O68" s="15"/>
      <c r="P68" s="15"/>
      <c r="Q68" s="21"/>
      <c r="R68" s="21"/>
      <c r="S68" s="40" t="s">
        <v>3711</v>
      </c>
    </row>
    <row r="69" s="25" customFormat="true" ht="27.6" hidden="false" customHeight="false" outlineLevel="0" collapsed="false">
      <c r="A69" s="59" t="s">
        <v>3884</v>
      </c>
      <c r="B69" s="30" t="s">
        <v>3885</v>
      </c>
      <c r="C69" s="14" t="s">
        <v>3707</v>
      </c>
      <c r="D69" s="15" t="n">
        <v>12</v>
      </c>
      <c r="E69" s="16" t="n">
        <v>26136</v>
      </c>
      <c r="F69" s="16" t="n">
        <v>43692</v>
      </c>
      <c r="G69" s="15" t="s">
        <v>36</v>
      </c>
      <c r="H69" s="17" t="s">
        <v>2937</v>
      </c>
      <c r="I69" s="98" t="s">
        <v>3886</v>
      </c>
      <c r="J69" s="15" t="n">
        <v>2008</v>
      </c>
      <c r="K69" s="19" t="s">
        <v>27</v>
      </c>
      <c r="L69" s="15" t="s">
        <v>28</v>
      </c>
      <c r="M69" s="15" t="s">
        <v>33</v>
      </c>
      <c r="N69" s="17" t="s">
        <v>415</v>
      </c>
      <c r="O69" s="15"/>
      <c r="P69" s="15"/>
      <c r="Q69" s="21"/>
      <c r="R69" s="21"/>
      <c r="S69" s="40" t="s">
        <v>3711</v>
      </c>
    </row>
    <row r="70" s="25" customFormat="true" ht="27.6" hidden="false" customHeight="false" outlineLevel="0" collapsed="false">
      <c r="A70" s="59" t="s">
        <v>3887</v>
      </c>
      <c r="B70" s="30"/>
      <c r="C70" s="14" t="s">
        <v>3888</v>
      </c>
      <c r="D70" s="15" t="n">
        <v>6</v>
      </c>
      <c r="E70" s="16" t="n">
        <f aca="false">F70/2</f>
        <v>14040</v>
      </c>
      <c r="F70" s="16" t="n">
        <f aca="false">18000*1.3*1.2</f>
        <v>28080</v>
      </c>
      <c r="G70" s="15" t="s">
        <v>36</v>
      </c>
      <c r="H70" s="17" t="s">
        <v>2937</v>
      </c>
      <c r="I70" s="98"/>
      <c r="J70" s="15" t="s">
        <v>3879</v>
      </c>
      <c r="K70" s="19" t="s">
        <v>27</v>
      </c>
      <c r="L70" s="15" t="s">
        <v>28</v>
      </c>
      <c r="M70" s="15" t="s">
        <v>33</v>
      </c>
      <c r="N70" s="17"/>
      <c r="O70" s="15"/>
      <c r="P70" s="15"/>
      <c r="Q70" s="21"/>
      <c r="R70" s="21"/>
      <c r="S70" s="40"/>
    </row>
    <row r="71" s="25" customFormat="true" ht="27.6" hidden="false" customHeight="false" outlineLevel="0" collapsed="false">
      <c r="A71" s="59" t="s">
        <v>3889</v>
      </c>
      <c r="B71" s="30" t="s">
        <v>3890</v>
      </c>
      <c r="C71" s="14"/>
      <c r="D71" s="15" t="n">
        <v>12</v>
      </c>
      <c r="E71" s="16" t="n">
        <v>11880</v>
      </c>
      <c r="F71" s="16" t="n">
        <v>21000</v>
      </c>
      <c r="G71" s="15" t="s">
        <v>36</v>
      </c>
      <c r="H71" s="17" t="s">
        <v>2937</v>
      </c>
      <c r="I71" s="18" t="s">
        <v>3891</v>
      </c>
      <c r="J71" s="15" t="n">
        <v>2015</v>
      </c>
      <c r="K71" s="19" t="s">
        <v>27</v>
      </c>
      <c r="L71" s="15" t="s">
        <v>28</v>
      </c>
      <c r="M71" s="15" t="s">
        <v>33</v>
      </c>
      <c r="N71" s="15" t="s">
        <v>53</v>
      </c>
      <c r="O71" s="15" t="s">
        <v>54</v>
      </c>
      <c r="P71" s="15"/>
      <c r="Q71" s="21"/>
      <c r="R71" s="21"/>
      <c r="S71" s="40" t="s">
        <v>3892</v>
      </c>
    </row>
    <row r="72" s="25" customFormat="true" ht="27.6" hidden="false" customHeight="false" outlineLevel="0" collapsed="false">
      <c r="A72" s="59" t="s">
        <v>3893</v>
      </c>
      <c r="B72" s="30" t="s">
        <v>3894</v>
      </c>
      <c r="C72" s="14" t="s">
        <v>3895</v>
      </c>
      <c r="D72" s="15" t="n">
        <v>50</v>
      </c>
      <c r="E72" s="16" t="n">
        <f aca="false">F72/2</f>
        <v>25056</v>
      </c>
      <c r="F72" s="16" t="n">
        <f aca="false">41760*1.2</f>
        <v>50112</v>
      </c>
      <c r="G72" s="15" t="s">
        <v>36</v>
      </c>
      <c r="H72" s="17" t="s">
        <v>2937</v>
      </c>
      <c r="I72" s="18"/>
      <c r="J72" s="15" t="n">
        <v>2005</v>
      </c>
      <c r="K72" s="19" t="s">
        <v>27</v>
      </c>
      <c r="L72" s="15" t="s">
        <v>103</v>
      </c>
      <c r="M72" s="15" t="s">
        <v>33</v>
      </c>
      <c r="N72" s="17" t="s">
        <v>343</v>
      </c>
      <c r="O72" s="15"/>
      <c r="P72" s="15"/>
      <c r="Q72" s="21"/>
      <c r="R72" s="21"/>
      <c r="S72" s="40"/>
    </row>
    <row r="73" s="25" customFormat="true" ht="27.6" hidden="false" customHeight="false" outlineLevel="0" collapsed="false">
      <c r="A73" s="59" t="s">
        <v>3896</v>
      </c>
      <c r="B73" s="30" t="s">
        <v>3897</v>
      </c>
      <c r="C73" s="14" t="s">
        <v>3707</v>
      </c>
      <c r="D73" s="15" t="n">
        <v>12</v>
      </c>
      <c r="E73" s="16" t="n">
        <v>12936</v>
      </c>
      <c r="F73" s="16" t="n">
        <v>23364</v>
      </c>
      <c r="G73" s="15" t="s">
        <v>36</v>
      </c>
      <c r="H73" s="17" t="s">
        <v>2937</v>
      </c>
      <c r="I73" s="15" t="s">
        <v>3898</v>
      </c>
      <c r="J73" s="15" t="n">
        <v>2015</v>
      </c>
      <c r="K73" s="19" t="s">
        <v>27</v>
      </c>
      <c r="L73" s="15" t="s">
        <v>28</v>
      </c>
      <c r="M73" s="15" t="s">
        <v>33</v>
      </c>
      <c r="N73" s="17" t="s">
        <v>83</v>
      </c>
      <c r="O73" s="15"/>
      <c r="P73" s="15"/>
      <c r="Q73" s="21"/>
      <c r="R73" s="21"/>
      <c r="S73" s="40"/>
    </row>
    <row r="74" s="25" customFormat="true" ht="27.6" hidden="false" customHeight="false" outlineLevel="0" collapsed="false">
      <c r="A74" s="59" t="s">
        <v>3899</v>
      </c>
      <c r="B74" s="30" t="s">
        <v>3900</v>
      </c>
      <c r="C74" s="14" t="s">
        <v>3730</v>
      </c>
      <c r="D74" s="15" t="n">
        <v>12</v>
      </c>
      <c r="E74" s="16" t="n">
        <f aca="false">F74/2</f>
        <v>27846</v>
      </c>
      <c r="F74" s="16" t="n">
        <f aca="false">46410*1.2</f>
        <v>55692</v>
      </c>
      <c r="G74" s="15" t="s">
        <v>36</v>
      </c>
      <c r="H74" s="17" t="s">
        <v>2937</v>
      </c>
      <c r="I74" s="18"/>
      <c r="J74" s="15" t="n">
        <v>2021</v>
      </c>
      <c r="K74" s="19" t="s">
        <v>27</v>
      </c>
      <c r="L74" s="15" t="s">
        <v>28</v>
      </c>
      <c r="M74" s="15" t="s">
        <v>33</v>
      </c>
      <c r="N74" s="20"/>
      <c r="O74" s="15"/>
      <c r="P74" s="15"/>
      <c r="Q74" s="96" t="n">
        <v>45893</v>
      </c>
      <c r="R74" s="21"/>
      <c r="S74" s="97"/>
    </row>
    <row r="75" s="25" customFormat="true" ht="27.6" hidden="false" customHeight="false" outlineLevel="0" collapsed="false">
      <c r="A75" s="59" t="s">
        <v>3901</v>
      </c>
      <c r="B75" s="30" t="s">
        <v>3902</v>
      </c>
      <c r="C75" s="14" t="s">
        <v>3707</v>
      </c>
      <c r="D75" s="15" t="n">
        <v>12</v>
      </c>
      <c r="E75" s="16" t="n">
        <v>24552</v>
      </c>
      <c r="F75" s="16" t="n">
        <v>43692</v>
      </c>
      <c r="G75" s="15" t="s">
        <v>36</v>
      </c>
      <c r="H75" s="17" t="s">
        <v>2937</v>
      </c>
      <c r="I75" s="98" t="s">
        <v>3903</v>
      </c>
      <c r="J75" s="15" t="n">
        <v>2009</v>
      </c>
      <c r="K75" s="19" t="s">
        <v>27</v>
      </c>
      <c r="L75" s="15" t="s">
        <v>28</v>
      </c>
      <c r="M75" s="15" t="s">
        <v>33</v>
      </c>
      <c r="N75" s="17" t="s">
        <v>72</v>
      </c>
      <c r="O75" s="15"/>
      <c r="P75" s="15"/>
      <c r="Q75" s="21"/>
      <c r="R75" s="21"/>
      <c r="S75" s="40" t="s">
        <v>3711</v>
      </c>
    </row>
    <row r="76" s="25" customFormat="true" ht="18" hidden="false" customHeight="false" outlineLevel="0" collapsed="false">
      <c r="A76" s="59" t="s">
        <v>3904</v>
      </c>
      <c r="B76" s="30"/>
      <c r="C76" s="14" t="s">
        <v>3905</v>
      </c>
      <c r="D76" s="15" t="n">
        <v>12</v>
      </c>
      <c r="E76" s="16" t="n">
        <f aca="false">F76/2</f>
        <v>13642.5</v>
      </c>
      <c r="F76" s="16" t="n">
        <f aca="false">25500*1.07</f>
        <v>27285</v>
      </c>
      <c r="G76" s="15" t="s">
        <v>36</v>
      </c>
      <c r="H76" s="17" t="s">
        <v>3906</v>
      </c>
      <c r="I76" s="18"/>
      <c r="J76" s="15" t="s">
        <v>3879</v>
      </c>
      <c r="K76" s="19" t="s">
        <v>27</v>
      </c>
      <c r="L76" s="15" t="s">
        <v>28</v>
      </c>
      <c r="M76" s="15" t="s">
        <v>33</v>
      </c>
      <c r="N76" s="20"/>
      <c r="O76" s="15"/>
      <c r="P76" s="15"/>
      <c r="Q76" s="21"/>
      <c r="R76" s="21"/>
      <c r="S76" s="97"/>
    </row>
  </sheetData>
  <autoFilter ref="A1:S76"/>
  <hyperlinks>
    <hyperlink ref="I66" r:id="rId1" display="http://e.26-2.ru/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LibreOffice/6.1.5.2$Linux_X86_64 LibreOffice_project/10$Build-2</Application>
  <Company>my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2011-10-10T11:22:29Z</dcterms:created>
  <dc:creator>kostyuk</dc:creator>
  <dc:description/>
  <dc:language>ru-RU</dc:language>
  <cp:lastModifiedBy>Marina</cp:lastModifiedBy>
  <dcterms:modified xsi:type="dcterms:W3CDTF">2025-09-30T12:51:05Z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